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M-DATOS\CEM\Publicaciones\PC CEM-MINER\A Revisar\2ª revisión\para web\"/>
    </mc:Choice>
  </mc:AlternateContent>
  <workbookProtection lockStructure="1"/>
  <bookViews>
    <workbookView xWindow="0" yWindow="0" windowWidth="23040" windowHeight="8805"/>
  </bookViews>
  <sheets>
    <sheet name="Horiz.1" sheetId="1" r:id="rId1"/>
    <sheet name="Horiz.2" sheetId="5" r:id="rId2"/>
    <sheet name="Horiz.3" sheetId="13" r:id="rId3"/>
    <sheet name="Vert.1" sheetId="3" r:id="rId4"/>
    <sheet name="Vert.2" sheetId="12" r:id="rId5"/>
    <sheet name="Vert.3" sheetId="14" r:id="rId6"/>
    <sheet name="Incertidumbres" sheetId="4" r:id="rId7"/>
  </sheets>
  <definedNames>
    <definedName name="_xlnm.Criteria" localSheetId="4">Vert.2!$D$24</definedName>
    <definedName name="_xlnm.Criteria" localSheetId="5">Vert.3!$D$24</definedName>
    <definedName name="_xlnm.Criteria">Vert.1!$D$24</definedName>
    <definedName name="solver_opt" localSheetId="3" hidden="1">Vert.1!$H$20</definedName>
    <definedName name="solver_opt" localSheetId="4" hidden="1">Vert.2!$H$20</definedName>
    <definedName name="solver_opt" localSheetId="5" hidden="1">Vert.3!$H$20</definedName>
  </definedNames>
  <calcPr calcId="152511"/>
</workbook>
</file>

<file path=xl/calcChain.xml><?xml version="1.0" encoding="utf-8"?>
<calcChain xmlns="http://schemas.openxmlformats.org/spreadsheetml/2006/main">
  <c r="F39" i="3" l="1"/>
  <c r="F40" i="3"/>
  <c r="F41" i="3"/>
  <c r="F42" i="3"/>
  <c r="F43" i="3"/>
  <c r="F38" i="12"/>
  <c r="F39" i="12"/>
  <c r="F40" i="12"/>
  <c r="F41" i="12"/>
  <c r="F42" i="12"/>
  <c r="F43" i="12"/>
  <c r="F38" i="14"/>
  <c r="F39" i="14"/>
  <c r="F40" i="14"/>
  <c r="F41" i="14"/>
  <c r="F42" i="14"/>
  <c r="F43" i="14"/>
  <c r="G41" i="13" l="1" a="1"/>
  <c r="G41" i="13" s="1"/>
  <c r="F41" i="13" a="1"/>
  <c r="F41" i="13" s="1"/>
  <c r="G35" i="13" a="1"/>
  <c r="G35" i="13" s="1"/>
  <c r="F35" i="13" a="1"/>
  <c r="F35" i="13" s="1"/>
  <c r="G29" i="13" a="1"/>
  <c r="G29" i="13" s="1"/>
  <c r="F29" i="13" a="1"/>
  <c r="F29" i="13" s="1"/>
  <c r="G23" i="13" a="1"/>
  <c r="G23" i="13" s="1"/>
  <c r="F23" i="13" a="1"/>
  <c r="F23" i="13" s="1"/>
  <c r="G41" i="5" a="1"/>
  <c r="G41" i="5" s="1"/>
  <c r="F41" i="5" a="1"/>
  <c r="F41" i="5" s="1"/>
  <c r="G35" i="5" a="1"/>
  <c r="G35" i="5" s="1"/>
  <c r="F35" i="5" a="1"/>
  <c r="F35" i="5" s="1"/>
  <c r="G29" i="5" a="1"/>
  <c r="G29" i="5" s="1"/>
  <c r="F29" i="5" a="1"/>
  <c r="F29" i="5" s="1"/>
  <c r="G23" i="5" a="1"/>
  <c r="G23" i="5" s="1"/>
  <c r="F23" i="5" a="1"/>
  <c r="F23" i="5" s="1"/>
  <c r="G41" i="1" a="1"/>
  <c r="G41" i="1" s="1"/>
  <c r="F41" i="1" a="1"/>
  <c r="F41" i="1" s="1"/>
  <c r="G35" i="1" a="1"/>
  <c r="G38" i="1" s="1"/>
  <c r="F35" i="1" a="1"/>
  <c r="F35" i="1" s="1"/>
  <c r="G29" i="1" a="1"/>
  <c r="G29" i="1" s="1"/>
  <c r="F29" i="1" a="1"/>
  <c r="F29" i="1" s="1"/>
  <c r="G23" i="1" a="1"/>
  <c r="G23" i="1" s="1"/>
  <c r="F23" i="1" a="1"/>
  <c r="F23" i="1" s="1"/>
  <c r="G44" i="13" l="1"/>
  <c r="G43" i="13"/>
  <c r="G42" i="13"/>
  <c r="F44" i="13"/>
  <c r="F43" i="13"/>
  <c r="F42" i="13"/>
  <c r="G38" i="13"/>
  <c r="G37" i="13"/>
  <c r="G36" i="13"/>
  <c r="F38" i="13"/>
  <c r="F37" i="13"/>
  <c r="F36" i="13"/>
  <c r="G32" i="13"/>
  <c r="G31" i="13"/>
  <c r="G30" i="13"/>
  <c r="F32" i="13"/>
  <c r="F31" i="13"/>
  <c r="F30" i="13"/>
  <c r="G24" i="13"/>
  <c r="G26" i="13"/>
  <c r="G25" i="13"/>
  <c r="F26" i="13"/>
  <c r="F25" i="13"/>
  <c r="F24" i="13"/>
  <c r="G44" i="5"/>
  <c r="G43" i="5"/>
  <c r="G42" i="5"/>
  <c r="F42" i="5"/>
  <c r="F44" i="5"/>
  <c r="F43" i="5"/>
  <c r="G36" i="5"/>
  <c r="G38" i="5"/>
  <c r="G37" i="5"/>
  <c r="F38" i="5"/>
  <c r="F37" i="5"/>
  <c r="F36" i="5"/>
  <c r="G32" i="5"/>
  <c r="G31" i="5"/>
  <c r="G30" i="5"/>
  <c r="F32" i="5"/>
  <c r="F31" i="5"/>
  <c r="F30" i="5"/>
  <c r="G24" i="5"/>
  <c r="G26" i="5"/>
  <c r="G25" i="5"/>
  <c r="F26" i="5"/>
  <c r="F25" i="5"/>
  <c r="F24" i="5"/>
  <c r="G44" i="1"/>
  <c r="G42" i="1"/>
  <c r="G43" i="1"/>
  <c r="F44" i="1"/>
  <c r="F43" i="1"/>
  <c r="F42" i="1"/>
  <c r="G37" i="1"/>
  <c r="G36" i="1"/>
  <c r="G35" i="1"/>
  <c r="F38" i="1"/>
  <c r="F37" i="1"/>
  <c r="F36" i="1"/>
  <c r="G32" i="1"/>
  <c r="G31" i="1"/>
  <c r="G30" i="1"/>
  <c r="F32" i="1"/>
  <c r="F31" i="1"/>
  <c r="F30" i="1"/>
  <c r="G26" i="1"/>
  <c r="G25" i="1"/>
  <c r="G24" i="1"/>
  <c r="F26" i="1"/>
  <c r="F25" i="1"/>
  <c r="F24" i="1"/>
  <c r="D32" i="4" l="1"/>
  <c r="H32" i="4"/>
  <c r="D33" i="4"/>
  <c r="H33" i="4"/>
  <c r="F16" i="4" l="1"/>
  <c r="D31" i="4" s="1"/>
  <c r="D43" i="14" l="1"/>
  <c r="H43" i="14" s="1"/>
  <c r="D42" i="14"/>
  <c r="H42" i="14" s="1"/>
  <c r="D41" i="14"/>
  <c r="H41" i="14" s="1"/>
  <c r="D40" i="14"/>
  <c r="H40" i="14" s="1"/>
  <c r="D39" i="14"/>
  <c r="H39" i="14" s="1"/>
  <c r="H38" i="14"/>
  <c r="D38" i="14"/>
  <c r="D37" i="14"/>
  <c r="F37" i="14" s="1"/>
  <c r="H37" i="14" s="1"/>
  <c r="D36" i="14"/>
  <c r="F36" i="14" s="1"/>
  <c r="H36" i="14" s="1"/>
  <c r="F35" i="14"/>
  <c r="H35" i="14" s="1"/>
  <c r="D35" i="14"/>
  <c r="D34" i="14"/>
  <c r="F34" i="14" s="1"/>
  <c r="H34" i="14" s="1"/>
  <c r="D33" i="14"/>
  <c r="K18" i="14" s="1"/>
  <c r="D32" i="14"/>
  <c r="F32" i="14" s="1"/>
  <c r="H32" i="14" s="1"/>
  <c r="H28" i="14"/>
  <c r="J28" i="14" s="1"/>
  <c r="C28" i="14"/>
  <c r="K28" i="14" s="1"/>
  <c r="C27" i="14"/>
  <c r="H26" i="14"/>
  <c r="J26" i="14" s="1"/>
  <c r="C26" i="14"/>
  <c r="C25" i="14"/>
  <c r="H25" i="14" s="1"/>
  <c r="I25" i="14" s="1"/>
  <c r="J24" i="14"/>
  <c r="H24" i="14"/>
  <c r="I24" i="14" s="1"/>
  <c r="C24" i="14"/>
  <c r="H23" i="14"/>
  <c r="J23" i="14" s="1"/>
  <c r="C23" i="14"/>
  <c r="K23" i="14" s="1"/>
  <c r="K22" i="14"/>
  <c r="J22" i="14"/>
  <c r="I22" i="14"/>
  <c r="H22" i="14"/>
  <c r="J21" i="14"/>
  <c r="I21" i="14"/>
  <c r="H21" i="14"/>
  <c r="K20" i="14"/>
  <c r="J20" i="14"/>
  <c r="I20" i="14"/>
  <c r="H20" i="14"/>
  <c r="K19" i="14"/>
  <c r="J19" i="14"/>
  <c r="I19" i="14"/>
  <c r="H19" i="14"/>
  <c r="J18" i="14"/>
  <c r="I18" i="14"/>
  <c r="H18" i="14"/>
  <c r="J17" i="14"/>
  <c r="H17" i="14"/>
  <c r="I17" i="14" s="1"/>
  <c r="B16" i="13"/>
  <c r="K24" i="14" l="1"/>
  <c r="K26" i="14"/>
  <c r="F33" i="14"/>
  <c r="H33" i="14" s="1"/>
  <c r="H47" i="14" s="1"/>
  <c r="X43" i="14" s="1"/>
  <c r="K21" i="14"/>
  <c r="M23" i="14" a="1"/>
  <c r="K27" i="14"/>
  <c r="K17" i="14"/>
  <c r="I23" i="14"/>
  <c r="J25" i="14"/>
  <c r="I26" i="14"/>
  <c r="H27" i="14"/>
  <c r="I27" i="14" s="1"/>
  <c r="I28" i="14"/>
  <c r="K25" i="14"/>
  <c r="H35" i="13" a="1"/>
  <c r="H41" i="13" a="1"/>
  <c r="K24" i="12"/>
  <c r="K25" i="12"/>
  <c r="K26" i="12"/>
  <c r="K27" i="12"/>
  <c r="K28" i="12"/>
  <c r="K23" i="12"/>
  <c r="J27" i="14" l="1"/>
  <c r="M17" i="14" s="1" a="1"/>
  <c r="W23" i="14"/>
  <c r="S23" i="14"/>
  <c r="O23" i="14"/>
  <c r="V23" i="14"/>
  <c r="R23" i="14"/>
  <c r="N23" i="14"/>
  <c r="U23" i="14"/>
  <c r="Q23" i="14"/>
  <c r="M23" i="14"/>
  <c r="X23" i="14"/>
  <c r="T23" i="14"/>
  <c r="P23" i="14"/>
  <c r="H44" i="13"/>
  <c r="H43" i="13"/>
  <c r="H42" i="13"/>
  <c r="H41" i="13"/>
  <c r="H35" i="13"/>
  <c r="H37" i="13"/>
  <c r="H38" i="13"/>
  <c r="H36" i="13"/>
  <c r="H23" i="13" a="1"/>
  <c r="H29" i="13" a="1"/>
  <c r="D43" i="12"/>
  <c r="D42" i="12"/>
  <c r="H42" i="12" s="1"/>
  <c r="D41" i="12"/>
  <c r="D40" i="12"/>
  <c r="H40" i="12" s="1"/>
  <c r="D39" i="12"/>
  <c r="H39" i="12" s="1"/>
  <c r="D38" i="12"/>
  <c r="H38" i="12" s="1"/>
  <c r="D37" i="12"/>
  <c r="F37" i="12" s="1"/>
  <c r="H37" i="12" s="1"/>
  <c r="D36" i="12"/>
  <c r="F36" i="12" s="1"/>
  <c r="H36" i="12" s="1"/>
  <c r="D35" i="12"/>
  <c r="F35" i="12" s="1"/>
  <c r="H35" i="12" s="1"/>
  <c r="D34" i="12"/>
  <c r="F34" i="12" s="1"/>
  <c r="H34" i="12" s="1"/>
  <c r="D33" i="12"/>
  <c r="F33" i="12" s="1"/>
  <c r="H33" i="12" s="1"/>
  <c r="D32" i="12"/>
  <c r="F32" i="12" s="1"/>
  <c r="H32" i="12" s="1"/>
  <c r="C28" i="12"/>
  <c r="H27" i="12"/>
  <c r="J27" i="12" s="1"/>
  <c r="C27" i="12"/>
  <c r="C26" i="12"/>
  <c r="C25" i="12"/>
  <c r="H25" i="12" s="1"/>
  <c r="I25" i="12" s="1"/>
  <c r="C24" i="12"/>
  <c r="C23" i="12"/>
  <c r="K22" i="12"/>
  <c r="H22" i="12"/>
  <c r="I22" i="12" s="1"/>
  <c r="H21" i="12"/>
  <c r="I21" i="12" s="1"/>
  <c r="H20" i="12"/>
  <c r="I20" i="12" s="1"/>
  <c r="H19" i="12"/>
  <c r="I19" i="12" s="1"/>
  <c r="K18" i="12"/>
  <c r="H18" i="12"/>
  <c r="I18" i="12" s="1"/>
  <c r="K17" i="12"/>
  <c r="H17" i="12"/>
  <c r="I17" i="12" s="1"/>
  <c r="X27" i="14" l="1"/>
  <c r="U19" i="14"/>
  <c r="Q19" i="14"/>
  <c r="M19" i="14"/>
  <c r="U18" i="14"/>
  <c r="Q18" i="14"/>
  <c r="M18" i="14"/>
  <c r="U17" i="14"/>
  <c r="Q17" i="14"/>
  <c r="M17" i="14"/>
  <c r="X17" i="14"/>
  <c r="V19" i="14"/>
  <c r="R19" i="14"/>
  <c r="N19" i="14"/>
  <c r="R18" i="14"/>
  <c r="V17" i="14"/>
  <c r="N17" i="14"/>
  <c r="X19" i="14"/>
  <c r="T19" i="14"/>
  <c r="P19" i="14"/>
  <c r="X18" i="14"/>
  <c r="T18" i="14"/>
  <c r="P18" i="14"/>
  <c r="T17" i="14"/>
  <c r="P17" i="14"/>
  <c r="W19" i="14"/>
  <c r="S19" i="14"/>
  <c r="O19" i="14"/>
  <c r="W18" i="14"/>
  <c r="S18" i="14"/>
  <c r="O18" i="14"/>
  <c r="W17" i="14"/>
  <c r="S17" i="14"/>
  <c r="O17" i="14"/>
  <c r="V18" i="14"/>
  <c r="N18" i="14"/>
  <c r="R17" i="14"/>
  <c r="H30" i="13"/>
  <c r="H32" i="13"/>
  <c r="H29" i="13"/>
  <c r="H31" i="13"/>
  <c r="H26" i="13"/>
  <c r="H24" i="13"/>
  <c r="H25" i="13"/>
  <c r="H23" i="13"/>
  <c r="K20" i="12"/>
  <c r="K21" i="12"/>
  <c r="J22" i="12"/>
  <c r="I27" i="12"/>
  <c r="J20" i="12"/>
  <c r="J19" i="12"/>
  <c r="J18" i="12"/>
  <c r="J21" i="12"/>
  <c r="K19" i="12"/>
  <c r="H24" i="12"/>
  <c r="I24" i="12" s="1"/>
  <c r="J17" i="12"/>
  <c r="H23" i="12"/>
  <c r="H26" i="12"/>
  <c r="H28" i="12"/>
  <c r="H43" i="12"/>
  <c r="J25" i="12"/>
  <c r="H41" i="12"/>
  <c r="J39" i="14" l="1" a="1"/>
  <c r="J32" i="14" a="1"/>
  <c r="I23" i="13" a="1"/>
  <c r="J24" i="12"/>
  <c r="H47" i="12"/>
  <c r="X43" i="12" s="1"/>
  <c r="M23" i="12" a="1"/>
  <c r="S23" i="12" s="1"/>
  <c r="J28" i="12"/>
  <c r="I28" i="12"/>
  <c r="I26" i="12"/>
  <c r="J26" i="12"/>
  <c r="J23" i="12"/>
  <c r="I23" i="12"/>
  <c r="J39" i="14" l="1"/>
  <c r="J41" i="14"/>
  <c r="J40" i="14"/>
  <c r="L33" i="14"/>
  <c r="K32" i="14"/>
  <c r="L34" i="14"/>
  <c r="K33" i="14"/>
  <c r="J32" i="14"/>
  <c r="K34" i="14"/>
  <c r="J33" i="14"/>
  <c r="J34" i="14"/>
  <c r="L32" i="14"/>
  <c r="I25" i="13"/>
  <c r="I23" i="13"/>
  <c r="I24" i="13"/>
  <c r="I26" i="13"/>
  <c r="X23" i="12"/>
  <c r="V23" i="12"/>
  <c r="W23" i="12"/>
  <c r="N23" i="12"/>
  <c r="M23" i="12"/>
  <c r="R23" i="12"/>
  <c r="P23" i="12"/>
  <c r="Q23" i="12"/>
  <c r="O23" i="12"/>
  <c r="T23" i="12"/>
  <c r="U23" i="12"/>
  <c r="M17" i="12" a="1"/>
  <c r="D32" i="3"/>
  <c r="D33" i="3"/>
  <c r="K18" i="3" s="1"/>
  <c r="D34" i="3"/>
  <c r="K19" i="3" s="1"/>
  <c r="D35" i="3"/>
  <c r="F35" i="3" s="1"/>
  <c r="H35" i="3" s="1"/>
  <c r="D36" i="3"/>
  <c r="K21" i="3" s="1"/>
  <c r="F36" i="3"/>
  <c r="H36" i="3" s="1"/>
  <c r="D37" i="3"/>
  <c r="K22" i="3" s="1"/>
  <c r="D38" i="3"/>
  <c r="D39" i="3"/>
  <c r="D40" i="3"/>
  <c r="D41" i="3"/>
  <c r="D42" i="3"/>
  <c r="D43" i="3"/>
  <c r="X27" i="12" l="1"/>
  <c r="H39" i="3"/>
  <c r="F32" i="3"/>
  <c r="H32" i="3" s="1"/>
  <c r="K17" i="3"/>
  <c r="F34" i="3"/>
  <c r="H34" i="3" s="1"/>
  <c r="X32" i="14" a="1"/>
  <c r="N27" i="14" a="1"/>
  <c r="J35" i="13" a="1"/>
  <c r="J29" i="13" a="1"/>
  <c r="J23" i="13" a="1"/>
  <c r="J41" i="13" a="1"/>
  <c r="K20" i="3"/>
  <c r="F37" i="3"/>
  <c r="H37" i="3" s="1"/>
  <c r="F33" i="3"/>
  <c r="H33" i="3" s="1"/>
  <c r="U19" i="12"/>
  <c r="Q19" i="12"/>
  <c r="M19" i="12"/>
  <c r="U18" i="12"/>
  <c r="Q18" i="12"/>
  <c r="M18" i="12"/>
  <c r="U17" i="12"/>
  <c r="Q17" i="12"/>
  <c r="M17" i="12"/>
  <c r="P19" i="12"/>
  <c r="X17" i="12"/>
  <c r="X19" i="12"/>
  <c r="T18" i="12"/>
  <c r="P17" i="12"/>
  <c r="W19" i="12"/>
  <c r="S18" i="12"/>
  <c r="S17" i="12"/>
  <c r="O19" i="12"/>
  <c r="W17" i="12"/>
  <c r="V19" i="12"/>
  <c r="R19" i="12"/>
  <c r="N19" i="12"/>
  <c r="V18" i="12"/>
  <c r="R18" i="12"/>
  <c r="N18" i="12"/>
  <c r="V17" i="12"/>
  <c r="R17" i="12"/>
  <c r="N17" i="12"/>
  <c r="T19" i="12"/>
  <c r="X18" i="12"/>
  <c r="P18" i="12"/>
  <c r="T17" i="12"/>
  <c r="S19" i="12"/>
  <c r="W18" i="12"/>
  <c r="O18" i="12"/>
  <c r="O17" i="12"/>
  <c r="H22" i="3"/>
  <c r="I22" i="3" s="1"/>
  <c r="H18" i="3"/>
  <c r="I18" i="3" s="1"/>
  <c r="H19" i="3"/>
  <c r="I19" i="3" s="1"/>
  <c r="H20" i="3"/>
  <c r="J20" i="3" s="1"/>
  <c r="H21" i="3"/>
  <c r="J21" i="3" s="1"/>
  <c r="C24" i="3"/>
  <c r="K24" i="3" s="1"/>
  <c r="C25" i="3"/>
  <c r="K25" i="3" s="1"/>
  <c r="C26" i="3"/>
  <c r="K26" i="3" s="1"/>
  <c r="C27" i="3"/>
  <c r="K27" i="3" s="1"/>
  <c r="C28" i="3"/>
  <c r="K28" i="3" s="1"/>
  <c r="C23" i="3"/>
  <c r="H17" i="3"/>
  <c r="I17" i="3" s="1"/>
  <c r="K23" i="3" l="1"/>
  <c r="F38" i="3"/>
  <c r="H38" i="3" s="1"/>
  <c r="H42" i="3"/>
  <c r="H41" i="3"/>
  <c r="H40" i="3"/>
  <c r="H43" i="3"/>
  <c r="O29" i="14"/>
  <c r="N28" i="14"/>
  <c r="N29" i="14"/>
  <c r="P27" i="14"/>
  <c r="P28" i="14"/>
  <c r="O27" i="14"/>
  <c r="P29" i="14"/>
  <c r="O28" i="14"/>
  <c r="N27" i="14"/>
  <c r="Y32" i="14"/>
  <c r="X32" i="14"/>
  <c r="Z32" i="14"/>
  <c r="J24" i="13"/>
  <c r="J26" i="13"/>
  <c r="J23" i="13"/>
  <c r="J25" i="13"/>
  <c r="J29" i="13"/>
  <c r="J32" i="13"/>
  <c r="J31" i="13"/>
  <c r="J30" i="13"/>
  <c r="J38" i="13"/>
  <c r="J36" i="13"/>
  <c r="J37" i="13"/>
  <c r="J35" i="13"/>
  <c r="J43" i="13"/>
  <c r="J42" i="13"/>
  <c r="J41" i="13"/>
  <c r="J44" i="13"/>
  <c r="J39" i="12" a="1"/>
  <c r="J32" i="12" a="1"/>
  <c r="H26" i="3"/>
  <c r="I26" i="3" s="1"/>
  <c r="H27" i="3"/>
  <c r="I27" i="3" s="1"/>
  <c r="H23" i="3"/>
  <c r="I23" i="3" s="1"/>
  <c r="H25" i="3"/>
  <c r="I25" i="3" s="1"/>
  <c r="I20" i="3"/>
  <c r="J17" i="3"/>
  <c r="I21" i="3"/>
  <c r="J19" i="3"/>
  <c r="J22" i="3"/>
  <c r="H28" i="3"/>
  <c r="I28" i="3" s="1"/>
  <c r="H24" i="3"/>
  <c r="I24" i="3" s="1"/>
  <c r="J18" i="3"/>
  <c r="B16" i="5"/>
  <c r="H23" i="5" a="1"/>
  <c r="H23" i="5" s="1"/>
  <c r="H29" i="5" a="1"/>
  <c r="H30" i="5" s="1"/>
  <c r="H35" i="5" a="1"/>
  <c r="H35" i="5" s="1"/>
  <c r="H41" i="5" a="1"/>
  <c r="H41" i="5" s="1"/>
  <c r="H43" i="5"/>
  <c r="H44" i="5" l="1"/>
  <c r="H42" i="5"/>
  <c r="H31" i="5"/>
  <c r="H29" i="5"/>
  <c r="H32" i="5"/>
  <c r="H23" i="1" a="1"/>
  <c r="H23" i="1" s="1"/>
  <c r="S27" i="14" a="1"/>
  <c r="J39" i="13" a="1"/>
  <c r="J39" i="13" s="1"/>
  <c r="J40" i="13" s="1"/>
  <c r="K35" i="13" a="1"/>
  <c r="J45" i="13" a="1"/>
  <c r="J45" i="13" s="1"/>
  <c r="J46" i="13" s="1"/>
  <c r="K41" i="13" s="1" a="1"/>
  <c r="J27" i="13" a="1"/>
  <c r="J27" i="13" s="1"/>
  <c r="J28" i="13" s="1"/>
  <c r="K23" i="13" s="1" a="1"/>
  <c r="J33" i="13" a="1"/>
  <c r="J33" i="13" s="1"/>
  <c r="J34" i="13" s="1"/>
  <c r="K29" i="13" s="1" a="1"/>
  <c r="H37" i="5"/>
  <c r="H36" i="5"/>
  <c r="H38" i="5"/>
  <c r="H25" i="5"/>
  <c r="H26" i="5"/>
  <c r="J27" i="3"/>
  <c r="L33" i="12"/>
  <c r="K32" i="12"/>
  <c r="J32" i="12"/>
  <c r="L34" i="12"/>
  <c r="K34" i="12"/>
  <c r="J33" i="12"/>
  <c r="J34" i="12"/>
  <c r="L32" i="12"/>
  <c r="K33" i="12"/>
  <c r="J39" i="12"/>
  <c r="J41" i="12"/>
  <c r="J40" i="12"/>
  <c r="J26" i="3"/>
  <c r="J23" i="3"/>
  <c r="J25" i="3"/>
  <c r="J24" i="3"/>
  <c r="J28" i="3"/>
  <c r="H24" i="1" l="1"/>
  <c r="H29" i="1" a="1"/>
  <c r="H31" i="1" s="1"/>
  <c r="H25" i="1"/>
  <c r="H35" i="1" a="1"/>
  <c r="H35" i="1" s="1"/>
  <c r="H41" i="1" a="1"/>
  <c r="H26" i="1"/>
  <c r="S28" i="14"/>
  <c r="V28" i="14" s="1"/>
  <c r="S27" i="14"/>
  <c r="S29" i="14"/>
  <c r="V29" i="14" s="1"/>
  <c r="K42" i="13"/>
  <c r="K41" i="13"/>
  <c r="K44" i="13"/>
  <c r="K43" i="13"/>
  <c r="K23" i="13"/>
  <c r="K25" i="13"/>
  <c r="K26" i="13"/>
  <c r="K24" i="13"/>
  <c r="K32" i="13"/>
  <c r="K31" i="13"/>
  <c r="K30" i="13"/>
  <c r="K29" i="13"/>
  <c r="K37" i="13"/>
  <c r="K35" i="13"/>
  <c r="K36" i="13"/>
  <c r="K38" i="13"/>
  <c r="H24" i="5"/>
  <c r="X32" i="12" a="1"/>
  <c r="N27" i="12" a="1"/>
  <c r="H47" i="3"/>
  <c r="X43" i="3" s="1"/>
  <c r="M17" i="3" a="1"/>
  <c r="W17" i="3" s="1"/>
  <c r="M23" i="3" a="1"/>
  <c r="O23" i="3" s="1"/>
  <c r="I23" i="5" l="1" a="1"/>
  <c r="I24" i="5" s="1"/>
  <c r="H37" i="1"/>
  <c r="H41" i="1"/>
  <c r="H43" i="1"/>
  <c r="H44" i="1"/>
  <c r="H42" i="1"/>
  <c r="H29" i="1"/>
  <c r="H32" i="1"/>
  <c r="H30" i="1"/>
  <c r="H36" i="1"/>
  <c r="H38" i="1"/>
  <c r="V27" i="14"/>
  <c r="X38" i="14"/>
  <c r="AA39" i="14" s="1"/>
  <c r="AB39" i="14" s="1"/>
  <c r="AC39" i="14" s="1"/>
  <c r="H26" i="4" s="1"/>
  <c r="L35" i="13" a="1"/>
  <c r="K39" i="13" a="1"/>
  <c r="K39" i="13" s="1"/>
  <c r="L41" i="13" a="1"/>
  <c r="K45" i="13" a="1"/>
  <c r="K45" i="13" s="1"/>
  <c r="L23" i="13" a="1"/>
  <c r="K27" i="13" a="1"/>
  <c r="K27" i="13" s="1"/>
  <c r="K33" i="13" a="1"/>
  <c r="K33" i="13" s="1"/>
  <c r="L29" i="13" a="1"/>
  <c r="O29" i="12"/>
  <c r="N28" i="12"/>
  <c r="P27" i="12"/>
  <c r="P28" i="12"/>
  <c r="O27" i="12"/>
  <c r="P29" i="12"/>
  <c r="O28" i="12"/>
  <c r="N27" i="12"/>
  <c r="N29" i="12"/>
  <c r="Y32" i="12"/>
  <c r="X32" i="12"/>
  <c r="Z32" i="12"/>
  <c r="N17" i="3"/>
  <c r="P19" i="3"/>
  <c r="X17" i="3"/>
  <c r="N19" i="3"/>
  <c r="Q18" i="3"/>
  <c r="R17" i="3"/>
  <c r="M18" i="3"/>
  <c r="S17" i="3"/>
  <c r="W18" i="3"/>
  <c r="T18" i="3"/>
  <c r="V18" i="3"/>
  <c r="R18" i="3"/>
  <c r="M17" i="3"/>
  <c r="V17" i="3"/>
  <c r="T19" i="3"/>
  <c r="U19" i="3"/>
  <c r="O18" i="3"/>
  <c r="Q19" i="3"/>
  <c r="O17" i="3"/>
  <c r="Q17" i="3"/>
  <c r="N18" i="3"/>
  <c r="M19" i="3"/>
  <c r="S19" i="3"/>
  <c r="R19" i="3"/>
  <c r="U18" i="3"/>
  <c r="T17" i="3"/>
  <c r="W19" i="3"/>
  <c r="S18" i="3"/>
  <c r="O19" i="3"/>
  <c r="P17" i="3"/>
  <c r="U17" i="3"/>
  <c r="V19" i="3"/>
  <c r="P18" i="3"/>
  <c r="X18" i="3"/>
  <c r="X19" i="3"/>
  <c r="P23" i="3"/>
  <c r="W23" i="3"/>
  <c r="N23" i="3"/>
  <c r="M23" i="3"/>
  <c r="S23" i="3"/>
  <c r="T23" i="3"/>
  <c r="R23" i="3"/>
  <c r="U23" i="3"/>
  <c r="X23" i="3"/>
  <c r="Q23" i="3"/>
  <c r="V23" i="3"/>
  <c r="I23" i="5" l="1"/>
  <c r="I25" i="5"/>
  <c r="I26" i="5"/>
  <c r="X27" i="3"/>
  <c r="I23" i="1" a="1"/>
  <c r="L26" i="13"/>
  <c r="L25" i="13"/>
  <c r="L24" i="13"/>
  <c r="L23" i="13"/>
  <c r="L31" i="13"/>
  <c r="L30" i="13"/>
  <c r="L29" i="13"/>
  <c r="L33" i="13" s="1" a="1"/>
  <c r="L32" i="13"/>
  <c r="L36" i="13"/>
  <c r="L38" i="13"/>
  <c r="L35" i="13"/>
  <c r="L39" i="13" s="1" a="1"/>
  <c r="L37" i="13"/>
  <c r="L41" i="13"/>
  <c r="L44" i="13"/>
  <c r="L43" i="13"/>
  <c r="L42" i="13"/>
  <c r="S27" i="12" a="1"/>
  <c r="J32" i="3" a="1"/>
  <c r="L33" i="3" s="1"/>
  <c r="J39" i="3" a="1"/>
  <c r="J41" i="3" s="1"/>
  <c r="J35" i="5" l="1" a="1"/>
  <c r="J29" i="5" a="1"/>
  <c r="J41" i="5" a="1"/>
  <c r="J41" i="5" s="1"/>
  <c r="J23" i="5" a="1"/>
  <c r="L39" i="13"/>
  <c r="L33" i="13"/>
  <c r="I23" i="1"/>
  <c r="I26" i="1"/>
  <c r="I24" i="1"/>
  <c r="I25" i="1"/>
  <c r="L45" i="13" a="1"/>
  <c r="L45" i="13" s="1"/>
  <c r="L27" i="13" a="1"/>
  <c r="L27" i="13" s="1"/>
  <c r="S28" i="12"/>
  <c r="V28" i="12" s="1"/>
  <c r="S27" i="12"/>
  <c r="S29" i="12"/>
  <c r="V29" i="12" s="1"/>
  <c r="K34" i="3"/>
  <c r="L32" i="3"/>
  <c r="J33" i="3"/>
  <c r="L34" i="3"/>
  <c r="K33" i="3"/>
  <c r="J32" i="3"/>
  <c r="J39" i="3"/>
  <c r="J34" i="3"/>
  <c r="K32" i="3"/>
  <c r="J40" i="3"/>
  <c r="J29" i="5" l="1"/>
  <c r="J31" i="5"/>
  <c r="J32" i="5"/>
  <c r="J30" i="5"/>
  <c r="J37" i="5"/>
  <c r="J35" i="5"/>
  <c r="J36" i="5"/>
  <c r="J38" i="5"/>
  <c r="J25" i="5"/>
  <c r="J23" i="5"/>
  <c r="J24" i="5"/>
  <c r="J43" i="5"/>
  <c r="J44" i="5"/>
  <c r="J42" i="5"/>
  <c r="J26" i="5"/>
  <c r="L47" i="13"/>
  <c r="C48" i="13" s="1"/>
  <c r="D26" i="4" s="1"/>
  <c r="J23" i="1" a="1"/>
  <c r="J23" i="1" s="1"/>
  <c r="J29" i="1" a="1"/>
  <c r="J35" i="1" a="1"/>
  <c r="J41" i="1" a="1"/>
  <c r="V27" i="12"/>
  <c r="X38" i="12"/>
  <c r="AA39" i="12" s="1"/>
  <c r="AB39" i="12" s="1"/>
  <c r="AC39" i="12" s="1"/>
  <c r="H25" i="4" s="1"/>
  <c r="X32" i="3" a="1"/>
  <c r="Y32" i="3" s="1"/>
  <c r="N27" i="3" a="1"/>
  <c r="O29" i="3" s="1"/>
  <c r="J45" i="5" l="1" a="1"/>
  <c r="J45" i="5" s="1"/>
  <c r="J46" i="5" s="1"/>
  <c r="K41" i="5" s="1" a="1"/>
  <c r="K41" i="5" s="1"/>
  <c r="K43" i="5"/>
  <c r="K44" i="5"/>
  <c r="J27" i="5" a="1"/>
  <c r="J27" i="5" s="1"/>
  <c r="J28" i="5" s="1"/>
  <c r="K23" i="5" s="1" a="1"/>
  <c r="J39" i="5" a="1"/>
  <c r="J39" i="5" s="1"/>
  <c r="J40" i="5" s="1"/>
  <c r="K35" i="5" s="1" a="1"/>
  <c r="K29" i="5" a="1"/>
  <c r="J33" i="5" a="1"/>
  <c r="J33" i="5" s="1"/>
  <c r="J34" i="5" s="1"/>
  <c r="J41" i="1"/>
  <c r="J42" i="1"/>
  <c r="J44" i="1"/>
  <c r="J43" i="1"/>
  <c r="J32" i="1"/>
  <c r="J29" i="1"/>
  <c r="J30" i="1"/>
  <c r="J31" i="1"/>
  <c r="J24" i="1"/>
  <c r="J26" i="1"/>
  <c r="J25" i="1"/>
  <c r="J35" i="1"/>
  <c r="J38" i="1"/>
  <c r="J37" i="1"/>
  <c r="J36" i="1"/>
  <c r="O27" i="3"/>
  <c r="O28" i="3"/>
  <c r="P28" i="3"/>
  <c r="P27" i="3"/>
  <c r="N27" i="3"/>
  <c r="N28" i="3"/>
  <c r="X32" i="3"/>
  <c r="Z32" i="3"/>
  <c r="N29" i="3"/>
  <c r="P29" i="3"/>
  <c r="K42" i="5" l="1"/>
  <c r="K35" i="5"/>
  <c r="K38" i="5"/>
  <c r="K37" i="5"/>
  <c r="K36" i="5"/>
  <c r="K26" i="5"/>
  <c r="K24" i="5"/>
  <c r="K23" i="5"/>
  <c r="K25" i="5"/>
  <c r="L41" i="5" a="1"/>
  <c r="L41" i="5" s="1"/>
  <c r="K45" i="5" a="1"/>
  <c r="K45" i="5" s="1"/>
  <c r="K31" i="5"/>
  <c r="K30" i="5"/>
  <c r="K29" i="5"/>
  <c r="K32" i="5"/>
  <c r="J27" i="1" a="1"/>
  <c r="J27" i="1" s="1"/>
  <c r="J28" i="1" s="1"/>
  <c r="K23" i="1" s="1" a="1"/>
  <c r="J33" i="1" a="1"/>
  <c r="J33" i="1" s="1"/>
  <c r="J34" i="1" s="1"/>
  <c r="K29" i="1" s="1" a="1"/>
  <c r="J45" i="1" a="1"/>
  <c r="J45" i="1" s="1"/>
  <c r="J46" i="1" s="1"/>
  <c r="K41" i="1" s="1" a="1"/>
  <c r="J39" i="1" a="1"/>
  <c r="J39" i="1" s="1"/>
  <c r="J40" i="1" s="1"/>
  <c r="S27" i="3" a="1"/>
  <c r="S28" i="3" s="1"/>
  <c r="V28" i="3" s="1"/>
  <c r="L29" i="5" l="1" a="1"/>
  <c r="L29" i="5" s="1"/>
  <c r="K33" i="5" a="1"/>
  <c r="K33" i="5" s="1"/>
  <c r="L42" i="5"/>
  <c r="L31" i="5"/>
  <c r="L44" i="5"/>
  <c r="K39" i="5" a="1"/>
  <c r="K39" i="5" s="1"/>
  <c r="L35" i="5" a="1"/>
  <c r="L35" i="5" s="1"/>
  <c r="L43" i="5"/>
  <c r="K27" i="5" a="1"/>
  <c r="K27" i="5" s="1"/>
  <c r="L23" i="5" a="1"/>
  <c r="L23" i="5" s="1"/>
  <c r="L45" i="5" a="1"/>
  <c r="L45" i="5" s="1"/>
  <c r="K35" i="1" a="1"/>
  <c r="K32" i="1"/>
  <c r="K30" i="1"/>
  <c r="K31" i="1"/>
  <c r="K29" i="1"/>
  <c r="K43" i="1"/>
  <c r="K44" i="1"/>
  <c r="K42" i="1"/>
  <c r="K25" i="1"/>
  <c r="K23" i="1"/>
  <c r="K26" i="1"/>
  <c r="K24" i="1"/>
  <c r="K41" i="1"/>
  <c r="S29" i="3"/>
  <c r="V29" i="3" s="1"/>
  <c r="S27" i="3"/>
  <c r="L36" i="5" l="1"/>
  <c r="L38" i="5"/>
  <c r="L37" i="5"/>
  <c r="L39" i="5" s="1" a="1"/>
  <c r="L39" i="5" s="1"/>
  <c r="L25" i="5"/>
  <c r="L27" i="5" s="1" a="1"/>
  <c r="L27" i="5" s="1"/>
  <c r="L26" i="5"/>
  <c r="L30" i="5"/>
  <c r="L24" i="5"/>
  <c r="L32" i="5"/>
  <c r="K27" i="1" a="1"/>
  <c r="K27" i="1" s="1"/>
  <c r="L23" i="1" a="1"/>
  <c r="L26" i="1" s="1"/>
  <c r="K45" i="1" a="1"/>
  <c r="K45" i="1" s="1"/>
  <c r="L41" i="1" a="1"/>
  <c r="L41" i="1" s="1"/>
  <c r="K33" i="1" a="1"/>
  <c r="K33" i="1" s="1"/>
  <c r="L29" i="1" a="1"/>
  <c r="L29" i="1" s="1"/>
  <c r="K38" i="1"/>
  <c r="K36" i="1"/>
  <c r="K37" i="1"/>
  <c r="L42" i="1"/>
  <c r="K35" i="1"/>
  <c r="X38" i="3"/>
  <c r="AA39" i="3" s="1"/>
  <c r="AB39" i="3" s="1"/>
  <c r="V27" i="3"/>
  <c r="L33" i="5" l="1" a="1"/>
  <c r="L33" i="5" s="1"/>
  <c r="L47" i="5" s="1"/>
  <c r="C48" i="5" s="1"/>
  <c r="D25" i="4" s="1"/>
  <c r="L32" i="1"/>
  <c r="L25" i="1"/>
  <c r="L24" i="1"/>
  <c r="L23" i="1"/>
  <c r="L27" i="1" s="1" a="1"/>
  <c r="L44" i="1"/>
  <c r="L43" i="1"/>
  <c r="L30" i="1"/>
  <c r="K39" i="1" a="1"/>
  <c r="K39" i="1" s="1"/>
  <c r="L35" i="1" a="1"/>
  <c r="L35" i="1" s="1"/>
  <c r="L31" i="1"/>
  <c r="AC39" i="3"/>
  <c r="H24" i="4" s="1"/>
  <c r="H29" i="4" l="1"/>
  <c r="H37" i="4" s="1"/>
  <c r="I37" i="4" s="1"/>
  <c r="H41" i="4" s="1"/>
  <c r="H45" i="4" s="1"/>
  <c r="H27" i="4"/>
  <c r="H35" i="4" s="1"/>
  <c r="I35" i="4" s="1"/>
  <c r="H39" i="4" s="1"/>
  <c r="H43" i="4" s="1"/>
  <c r="H28" i="4"/>
  <c r="H36" i="4" s="1"/>
  <c r="I36" i="4" s="1"/>
  <c r="H40" i="4" s="1"/>
  <c r="H44" i="4" s="1"/>
  <c r="L27" i="1"/>
  <c r="L33" i="1" a="1"/>
  <c r="L33" i="1" s="1"/>
  <c r="L37" i="1"/>
  <c r="L45" i="1" a="1"/>
  <c r="L45" i="1" s="1"/>
  <c r="L36" i="1"/>
  <c r="L39" i="1" s="1" a="1"/>
  <c r="L38" i="1"/>
  <c r="L39" i="1" l="1"/>
  <c r="L47" i="1" s="1"/>
  <c r="C48" i="1" s="1"/>
  <c r="D24" i="4" s="1"/>
  <c r="D29" i="4" l="1"/>
  <c r="D37" i="4" s="1"/>
  <c r="E37" i="4" s="1"/>
  <c r="D41" i="4" s="1"/>
  <c r="D45" i="4" s="1"/>
  <c r="D27" i="4"/>
  <c r="D35" i="4" s="1"/>
  <c r="E35" i="4" s="1"/>
  <c r="D39" i="4" s="1"/>
  <c r="D43" i="4" s="1"/>
  <c r="D28" i="4"/>
  <c r="D36" i="4" s="1"/>
  <c r="E36" i="4" s="1"/>
  <c r="D40" i="4" s="1"/>
  <c r="D44" i="4" s="1"/>
</calcChain>
</file>

<file path=xl/sharedStrings.xml><?xml version="1.0" encoding="utf-8"?>
<sst xmlns="http://schemas.openxmlformats.org/spreadsheetml/2006/main" count="389" uniqueCount="127">
  <si>
    <t>VERTICALIDAD 1</t>
  </si>
  <si>
    <t>Resolución lectura (mgon)</t>
  </si>
  <si>
    <t>RESOLUCIÓN LECTURA</t>
  </si>
  <si>
    <t>Componentes incertidumbre</t>
  </si>
  <si>
    <t>COMPENSADOR VERTICAL (±)</t>
  </si>
  <si>
    <t>ÁNGULOS VERTICALES</t>
  </si>
  <si>
    <t>Serie:          Horizontales</t>
  </si>
  <si>
    <t xml:space="preserve">           Observaciones:    </t>
  </si>
  <si>
    <t>Media de la</t>
  </si>
  <si>
    <t xml:space="preserve">Media de la </t>
  </si>
  <si>
    <t>Vuelta</t>
  </si>
  <si>
    <t>Puntería</t>
  </si>
  <si>
    <t>Reducido</t>
  </si>
  <si>
    <r>
      <t xml:space="preserve">Vuelta, </t>
    </r>
    <r>
      <rPr>
        <i/>
        <sz val="10"/>
        <rFont val="Arial"/>
        <family val="2"/>
      </rPr>
      <t>m</t>
    </r>
  </si>
  <si>
    <r>
      <t xml:space="preserve">Estación, </t>
    </r>
    <r>
      <rPr>
        <i/>
        <sz val="10"/>
        <rFont val="Arial"/>
        <family val="2"/>
      </rPr>
      <t>M</t>
    </r>
  </si>
  <si>
    <t>d</t>
  </si>
  <si>
    <t>g</t>
  </si>
  <si>
    <r>
      <t>g</t>
    </r>
    <r>
      <rPr>
        <vertAlign val="superscript"/>
        <sz val="10"/>
        <rFont val="Arial"/>
        <family val="2"/>
      </rPr>
      <t>2</t>
    </r>
  </si>
  <si>
    <t>gon</t>
  </si>
  <si>
    <t>mgon</t>
  </si>
  <si>
    <t>A</t>
  </si>
  <si>
    <t>B</t>
  </si>
  <si>
    <t>C</t>
  </si>
  <si>
    <t>D</t>
  </si>
  <si>
    <t xml:space="preserve">                          S</t>
  </si>
  <si>
    <r>
      <t>d=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d/4</t>
    </r>
  </si>
  <si>
    <r>
      <t xml:space="preserve">                        Sg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 xml:space="preserve"> =</t>
    </r>
  </si>
  <si>
    <r>
      <t>S</t>
    </r>
    <r>
      <rPr>
        <vertAlign val="subscript"/>
        <sz val="10"/>
        <rFont val="Arial"/>
        <family val="2"/>
      </rPr>
      <t xml:space="preserve">2  </t>
    </r>
    <r>
      <rPr>
        <sz val="10"/>
        <rFont val="Arial"/>
        <family val="2"/>
      </rPr>
      <t>=</t>
    </r>
  </si>
  <si>
    <t>.</t>
  </si>
  <si>
    <t>(hi-x1)^2+x2^2</t>
  </si>
  <si>
    <t>MATRIZ A</t>
  </si>
  <si>
    <t>dX</t>
  </si>
  <si>
    <t>MATRIZ  I</t>
  </si>
  <si>
    <t>Calibración:</t>
  </si>
  <si>
    <t>Empresa:</t>
  </si>
  <si>
    <t>Marca:</t>
  </si>
  <si>
    <t>Valores a introducir en cada calibración</t>
  </si>
  <si>
    <t>ÁNGULOS HORIZONTALES</t>
  </si>
  <si>
    <t>Aumentos</t>
  </si>
  <si>
    <t>DESVIACION</t>
  </si>
  <si>
    <t>TÍPICA</t>
  </si>
  <si>
    <t>Condiciones:  Temperatura:</t>
  </si>
  <si>
    <t xml:space="preserve">  Humedad relativa:  </t>
  </si>
  <si>
    <t>Datos del instrumento</t>
  </si>
  <si>
    <t>Dia:</t>
  </si>
  <si>
    <t xml:space="preserve">Instrumento:   </t>
  </si>
  <si>
    <t xml:space="preserve">Dia: </t>
  </si>
  <si>
    <t>p =</t>
  </si>
  <si>
    <t>Antihorario</t>
  </si>
  <si>
    <t>Horario</t>
  </si>
  <si>
    <t>Sentido</t>
  </si>
  <si>
    <t>Sent. Horario</t>
  </si>
  <si>
    <t>Sent. Antihorario</t>
  </si>
  <si>
    <r>
      <t>mgon</t>
    </r>
    <r>
      <rPr>
        <vertAlign val="superscript"/>
        <sz val="8"/>
        <rFont val="Arial"/>
        <family val="2"/>
      </rPr>
      <t>2</t>
    </r>
  </si>
  <si>
    <t>a3</t>
  </si>
  <si>
    <t xml:space="preserve">           ¡ojo! 2 fórmulas</t>
  </si>
  <si>
    <r>
      <t>hi</t>
    </r>
    <r>
      <rPr>
        <sz val="10"/>
        <rFont val="MS Sans Serif"/>
      </rPr>
      <t xml:space="preserve"> (m)</t>
    </r>
  </si>
  <si>
    <r>
      <t>zi (I y II)</t>
    </r>
    <r>
      <rPr>
        <sz val="10"/>
        <rFont val="MS Sans Serif"/>
      </rPr>
      <t xml:space="preserve"> (gon)</t>
    </r>
  </si>
  <si>
    <r>
      <t xml:space="preserve">x1 </t>
    </r>
    <r>
      <rPr>
        <sz val="10"/>
        <rFont val="MS Sans Serif"/>
      </rPr>
      <t>(m)</t>
    </r>
  </si>
  <si>
    <r>
      <t>x2</t>
    </r>
    <r>
      <rPr>
        <sz val="10"/>
        <rFont val="MS Sans Serif"/>
      </rPr>
      <t xml:space="preserve"> (m)</t>
    </r>
  </si>
  <si>
    <t>¡ojo! 2 fórmulas</t>
  </si>
  <si>
    <r>
      <t>(A</t>
    </r>
    <r>
      <rPr>
        <b/>
        <vertAlign val="superscript"/>
        <sz val="10"/>
        <color rgb="FFFF0000"/>
        <rFont val="MS Sans Serif"/>
      </rPr>
      <t>T</t>
    </r>
    <r>
      <rPr>
        <b/>
        <sz val="10"/>
        <color rgb="FFFF0000"/>
        <rFont val="MS Sans Serif"/>
      </rPr>
      <t xml:space="preserve"> * I)</t>
    </r>
    <r>
      <rPr>
        <b/>
        <vertAlign val="superscript"/>
        <sz val="10"/>
        <color rgb="FFFF0000"/>
        <rFont val="MS Sans Serif"/>
      </rPr>
      <t>T</t>
    </r>
  </si>
  <si>
    <r>
      <t>A</t>
    </r>
    <r>
      <rPr>
        <b/>
        <vertAlign val="superscript"/>
        <sz val="10"/>
        <color rgb="FFFF0000"/>
        <rFont val="MS Sans Serif"/>
      </rPr>
      <t xml:space="preserve">T </t>
    </r>
    <r>
      <rPr>
        <b/>
        <sz val="10"/>
        <color rgb="FFFF0000"/>
        <rFont val="MS Sans Serif"/>
      </rPr>
      <t>* A</t>
    </r>
  </si>
  <si>
    <r>
      <t>I</t>
    </r>
    <r>
      <rPr>
        <b/>
        <vertAlign val="superscript"/>
        <sz val="10"/>
        <color rgb="FFFF0000"/>
        <rFont val="MS Sans Serif"/>
      </rPr>
      <t>T</t>
    </r>
  </si>
  <si>
    <r>
      <t>A</t>
    </r>
    <r>
      <rPr>
        <b/>
        <vertAlign val="superscript"/>
        <sz val="10"/>
        <color rgb="FFFF0000"/>
        <rFont val="MS Sans Serif"/>
      </rPr>
      <t>T</t>
    </r>
  </si>
  <si>
    <r>
      <t>A</t>
    </r>
    <r>
      <rPr>
        <b/>
        <vertAlign val="superscript"/>
        <sz val="10"/>
        <color rgb="FFFF0000"/>
        <rFont val="MS Sans Serif"/>
      </rPr>
      <t xml:space="preserve">T </t>
    </r>
    <r>
      <rPr>
        <b/>
        <sz val="10"/>
        <color rgb="FFFF0000"/>
        <rFont val="MS Sans Serif"/>
      </rPr>
      <t>* I</t>
    </r>
  </si>
  <si>
    <r>
      <t>[Q] = (A</t>
    </r>
    <r>
      <rPr>
        <b/>
        <vertAlign val="superscript"/>
        <sz val="10"/>
        <color rgb="FFFF0000"/>
        <rFont val="MS Sans Serif"/>
      </rPr>
      <t xml:space="preserve">T </t>
    </r>
    <r>
      <rPr>
        <b/>
        <sz val="10"/>
        <color rgb="FFFF0000"/>
        <rFont val="MS Sans Serif"/>
      </rPr>
      <t>* A)</t>
    </r>
    <r>
      <rPr>
        <b/>
        <vertAlign val="superscript"/>
        <sz val="10"/>
        <color rgb="FFFF0000"/>
        <rFont val="MS Sans Serif"/>
      </rPr>
      <t>-1</t>
    </r>
  </si>
  <si>
    <r>
      <t>Q * A</t>
    </r>
    <r>
      <rPr>
        <b/>
        <vertAlign val="superscript"/>
        <sz val="10"/>
        <color rgb="FFFF0000"/>
        <rFont val="MS Sans Serif"/>
      </rPr>
      <t xml:space="preserve">T </t>
    </r>
    <r>
      <rPr>
        <b/>
        <sz val="10"/>
        <color rgb="FFFF0000"/>
        <rFont val="MS Sans Serif"/>
      </rPr>
      <t>* I</t>
    </r>
  </si>
  <si>
    <r>
      <rPr>
        <b/>
        <i/>
        <sz val="11"/>
        <color rgb="FFFF0000"/>
        <rFont val="Arial"/>
        <family val="2"/>
      </rPr>
      <t>rr</t>
    </r>
    <r>
      <rPr>
        <b/>
        <vertAlign val="subscript"/>
        <sz val="11"/>
        <color rgb="FFFF0000"/>
        <rFont val="Arial"/>
        <family val="2"/>
      </rPr>
      <t>i</t>
    </r>
  </si>
  <si>
    <r>
      <t xml:space="preserve">zi </t>
    </r>
    <r>
      <rPr>
        <sz val="10"/>
        <rFont val="MS Sans Serif"/>
      </rPr>
      <t>(rad)</t>
    </r>
  </si>
  <si>
    <r>
      <t>li</t>
    </r>
    <r>
      <rPr>
        <sz val="10"/>
        <rFont val="MS Sans Serif"/>
      </rPr>
      <t xml:space="preserve"> (rad)</t>
    </r>
  </si>
  <si>
    <r>
      <t xml:space="preserve">li </t>
    </r>
    <r>
      <rPr>
        <sz val="10"/>
        <rFont val="MS Sans Serif"/>
      </rPr>
      <t>(gon)</t>
    </r>
  </si>
  <si>
    <r>
      <t>m</t>
    </r>
    <r>
      <rPr>
        <vertAlign val="superscript"/>
        <sz val="10"/>
        <rFont val="Arial"/>
        <family val="2"/>
      </rPr>
      <t>2</t>
    </r>
  </si>
  <si>
    <t>O VERTICALIDAD 2</t>
  </si>
  <si>
    <r>
      <t>dx</t>
    </r>
    <r>
      <rPr>
        <b/>
        <vertAlign val="subscript"/>
        <sz val="10"/>
        <color rgb="FF00B050"/>
        <rFont val="Arial"/>
        <family val="2"/>
      </rPr>
      <t>1</t>
    </r>
  </si>
  <si>
    <r>
      <t>dx</t>
    </r>
    <r>
      <rPr>
        <b/>
        <vertAlign val="subscript"/>
        <sz val="10"/>
        <color rgb="FF00B050"/>
        <rFont val="Arial"/>
        <family val="2"/>
      </rPr>
      <t>2</t>
    </r>
  </si>
  <si>
    <r>
      <t>dx</t>
    </r>
    <r>
      <rPr>
        <b/>
        <vertAlign val="subscript"/>
        <sz val="10"/>
        <color rgb="FF00B050"/>
        <rFont val="Arial"/>
        <family val="2"/>
      </rPr>
      <t>3</t>
    </r>
  </si>
  <si>
    <r>
      <t>12 * (</t>
    </r>
    <r>
      <rPr>
        <b/>
        <sz val="10"/>
        <color rgb="FF00B050"/>
        <rFont val="Symbol"/>
        <family val="1"/>
        <charset val="2"/>
      </rPr>
      <t>b</t>
    </r>
    <r>
      <rPr>
        <b/>
        <sz val="10"/>
        <color rgb="FFFF0000"/>
        <rFont val="MS Sans Serif"/>
      </rPr>
      <t>)</t>
    </r>
    <r>
      <rPr>
        <b/>
        <vertAlign val="superscript"/>
        <sz val="10"/>
        <color rgb="FFFF0000"/>
        <rFont val="MS Sans Serif"/>
      </rPr>
      <t>2</t>
    </r>
  </si>
  <si>
    <r>
      <t>(A</t>
    </r>
    <r>
      <rPr>
        <b/>
        <vertAlign val="superscript"/>
        <sz val="10"/>
        <color rgb="FFFF0000"/>
        <rFont val="MS Sans Serif"/>
      </rPr>
      <t>T</t>
    </r>
    <r>
      <rPr>
        <b/>
        <sz val="10"/>
        <color rgb="FFFF0000"/>
        <rFont val="MS Sans Serif"/>
      </rPr>
      <t xml:space="preserve"> * I)</t>
    </r>
    <r>
      <rPr>
        <b/>
        <vertAlign val="superscript"/>
        <sz val="10"/>
        <color rgb="FFFF0000"/>
        <rFont val="MS Sans Serif"/>
      </rPr>
      <t>T</t>
    </r>
    <r>
      <rPr>
        <b/>
        <sz val="10"/>
        <color rgb="FFFF0000"/>
        <rFont val="MS Sans Serif"/>
      </rPr>
      <t xml:space="preserve"> * </t>
    </r>
    <r>
      <rPr>
        <b/>
        <sz val="10"/>
        <color rgb="FF00B050"/>
        <rFont val="MS Sans Serif"/>
      </rPr>
      <t>dX</t>
    </r>
  </si>
  <si>
    <r>
      <rPr>
        <sz val="10"/>
        <rFont val="Symbol"/>
        <family val="1"/>
        <charset val="2"/>
      </rPr>
      <t>p/2</t>
    </r>
    <r>
      <rPr>
        <sz val="10"/>
        <rFont val="Arial"/>
        <family val="2"/>
      </rPr>
      <t xml:space="preserve"> y</t>
    </r>
  </si>
  <si>
    <r>
      <t>3</t>
    </r>
    <r>
      <rPr>
        <sz val="10"/>
        <rFont val="Symbol"/>
        <family val="1"/>
        <charset val="2"/>
      </rPr>
      <t>p/2</t>
    </r>
  </si>
  <si>
    <r>
      <rPr>
        <b/>
        <i/>
        <sz val="10"/>
        <color rgb="FF00B050"/>
        <rFont val="Symbol"/>
        <family val="1"/>
        <charset val="2"/>
      </rPr>
      <t>b</t>
    </r>
    <r>
      <rPr>
        <b/>
        <sz val="10"/>
        <color rgb="FFFF0000"/>
        <rFont val="MS Sans Serif"/>
      </rPr>
      <t xml:space="preserve"> = SUMA li/12</t>
    </r>
  </si>
  <si>
    <t>Sensibilidad nivel (")</t>
  </si>
  <si>
    <t>las dos celdas en amarillo</t>
  </si>
  <si>
    <t>Rellenar solo una de</t>
  </si>
  <si>
    <t xml:space="preserve">Observador:  </t>
  </si>
  <si>
    <t>Procedimiento DI-034</t>
  </si>
  <si>
    <r>
      <t xml:space="preserve">ÁNGULOS HORIZONTALES </t>
    </r>
    <r>
      <rPr>
        <b/>
        <sz val="10"/>
        <rFont val="Arial"/>
        <family val="2"/>
      </rPr>
      <t>(SERIE 1)</t>
    </r>
  </si>
  <si>
    <t>HOJA PARA LA OBTENCIÓN DE RESULTADOS DE CALIBRACIÓN DE TEODOLITOS</t>
  </si>
  <si>
    <r>
      <t xml:space="preserve">ÁNGULOS HORIZONTALES </t>
    </r>
    <r>
      <rPr>
        <b/>
        <sz val="10"/>
        <rFont val="Arial"/>
        <family val="2"/>
      </rPr>
      <t>(SERIE 3)</t>
    </r>
  </si>
  <si>
    <r>
      <t xml:space="preserve">ÁNGULOS HORIZONTALES </t>
    </r>
    <r>
      <rPr>
        <b/>
        <sz val="10"/>
        <rFont val="Arial"/>
        <family val="2"/>
      </rPr>
      <t>(SERIE 2)</t>
    </r>
  </si>
  <si>
    <r>
      <t xml:space="preserve">ÁNGULOS VERTICALES </t>
    </r>
    <r>
      <rPr>
        <b/>
        <sz val="10"/>
        <rFont val="Arial"/>
        <family val="2"/>
      </rPr>
      <t>(SERIE 1)</t>
    </r>
  </si>
  <si>
    <r>
      <t xml:space="preserve">ÁNGULOS VERTICALES </t>
    </r>
    <r>
      <rPr>
        <b/>
        <sz val="10"/>
        <rFont val="Arial"/>
        <family val="2"/>
      </rPr>
      <t>(SERIE 3)</t>
    </r>
  </si>
  <si>
    <r>
      <t xml:space="preserve">ÁNGULOS VERTICALES </t>
    </r>
    <r>
      <rPr>
        <b/>
        <sz val="10"/>
        <rFont val="Arial"/>
        <family val="2"/>
      </rPr>
      <t>(SERIE 2)</t>
    </r>
  </si>
  <si>
    <t>REP. Horiz.1</t>
  </si>
  <si>
    <t>REP. Horiz.2</t>
  </si>
  <si>
    <t>REP. Horiz.3</t>
  </si>
  <si>
    <t>REP. Vert.1</t>
  </si>
  <si>
    <t>REP. Vert.2</t>
  </si>
  <si>
    <t>REP. Vert.3</t>
  </si>
  <si>
    <t xml:space="preserve">a1 </t>
  </si>
  <si>
    <t xml:space="preserve">a2 </t>
  </si>
  <si>
    <t>ESTIMACIÓN DE INCERTIDUMBRE - CALIBRACIÓN DE TEODOLITOS</t>
  </si>
  <si>
    <t>Error nivel electrónico (mgon)</t>
  </si>
  <si>
    <t>Compensador vertical (±)(mgon)</t>
  </si>
  <si>
    <t>Valores a introducir tras calibración de la medida materializada de longitud</t>
  </si>
  <si>
    <r>
      <t>(I</t>
    </r>
    <r>
      <rPr>
        <b/>
        <vertAlign val="superscript"/>
        <sz val="10"/>
        <color rgb="FFFF0000"/>
        <rFont val="MS Sans Serif"/>
      </rPr>
      <t xml:space="preserve">T </t>
    </r>
    <r>
      <rPr>
        <b/>
        <sz val="10"/>
        <color rgb="FFFF0000"/>
        <rFont val="MS Sans Serif"/>
      </rPr>
      <t>* I)</t>
    </r>
  </si>
  <si>
    <t>valor</t>
  </si>
  <si>
    <r>
      <rPr>
        <sz val="10"/>
        <rFont val="Symbol"/>
        <family val="1"/>
        <charset val="2"/>
      </rPr>
      <t>n</t>
    </r>
    <r>
      <rPr>
        <vertAlign val="subscript"/>
        <sz val="10"/>
        <rFont val="Arial"/>
        <family val="2"/>
      </rPr>
      <t>i</t>
    </r>
  </si>
  <si>
    <t>REP m=1</t>
  </si>
  <si>
    <t>REP m=2</t>
  </si>
  <si>
    <t>REP m=3</t>
  </si>
  <si>
    <r>
      <rPr>
        <b/>
        <i/>
        <sz val="10"/>
        <rFont val="Arial"/>
        <family val="2"/>
      </rPr>
      <t>u</t>
    </r>
    <r>
      <rPr>
        <b/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m</t>
    </r>
    <r>
      <rPr>
        <b/>
        <sz val="10"/>
        <rFont val="Arial"/>
        <family val="2"/>
      </rPr>
      <t>=1)</t>
    </r>
  </si>
  <si>
    <t>u (m=1)</t>
  </si>
  <si>
    <r>
      <rPr>
        <b/>
        <i/>
        <sz val="10"/>
        <rFont val="Arial"/>
        <family val="2"/>
      </rPr>
      <t>u</t>
    </r>
    <r>
      <rPr>
        <b/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m</t>
    </r>
    <r>
      <rPr>
        <b/>
        <sz val="10"/>
        <rFont val="Arial"/>
        <family val="2"/>
      </rPr>
      <t>=2)</t>
    </r>
  </si>
  <si>
    <t>u (m=2)</t>
  </si>
  <si>
    <r>
      <rPr>
        <b/>
        <i/>
        <sz val="10"/>
        <rFont val="Arial"/>
        <family val="2"/>
      </rPr>
      <t>u</t>
    </r>
    <r>
      <rPr>
        <b/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m</t>
    </r>
    <r>
      <rPr>
        <b/>
        <sz val="10"/>
        <rFont val="Arial"/>
        <family val="2"/>
      </rPr>
      <t>=3)</t>
    </r>
  </si>
  <si>
    <t>u (m=3)</t>
  </si>
  <si>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(m=1)</t>
    </r>
  </si>
  <si>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(m=2)</t>
    </r>
  </si>
  <si>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(m=3)</t>
    </r>
  </si>
  <si>
    <t>U (m=1)</t>
  </si>
  <si>
    <t>U (m=2)</t>
  </si>
  <si>
    <t>U (m=3)</t>
  </si>
  <si>
    <t>X1 =</t>
  </si>
  <si>
    <t>X2 =</t>
  </si>
  <si>
    <t xml:space="preserve">X3 =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</si>
</sst>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"/>
    <numFmt numFmtId="167" formatCode="0.00\ &quot;mgon&quot;"/>
  </numFmts>
  <fonts count="4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Arial"/>
      <family val="2"/>
    </font>
    <font>
      <sz val="8"/>
      <color indexed="39"/>
      <name val="Arial"/>
      <family val="2"/>
    </font>
    <font>
      <sz val="10"/>
      <name val="MS Sans Serif"/>
    </font>
    <font>
      <b/>
      <sz val="10"/>
      <name val="MS Sans Serif"/>
    </font>
    <font>
      <b/>
      <i/>
      <sz val="10"/>
      <name val="MS Sans Serif"/>
    </font>
    <font>
      <sz val="10"/>
      <color indexed="39"/>
      <name val="Arial"/>
      <family val="2"/>
    </font>
    <font>
      <b/>
      <sz val="10"/>
      <color indexed="39"/>
      <name val="MS Sans Serif"/>
    </font>
    <font>
      <sz val="10"/>
      <color indexed="39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MS Sans Serif"/>
    </font>
    <font>
      <vertAlign val="superscript"/>
      <sz val="8"/>
      <name val="Arial"/>
      <family val="2"/>
    </font>
    <font>
      <b/>
      <vertAlign val="superscript"/>
      <sz val="10"/>
      <color rgb="FFFF0000"/>
      <name val="MS Sans Serif"/>
    </font>
    <font>
      <b/>
      <sz val="10"/>
      <color rgb="FF00B050"/>
      <name val="MS Sans Serif"/>
    </font>
    <font>
      <b/>
      <i/>
      <sz val="10"/>
      <color rgb="FF00B050"/>
      <name val="Symbol"/>
      <family val="1"/>
      <charset val="2"/>
    </font>
    <font>
      <b/>
      <i/>
      <sz val="11"/>
      <color rgb="FFFF0000"/>
      <name val="Arial"/>
      <family val="2"/>
    </font>
    <font>
      <b/>
      <vertAlign val="subscript"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vertAlign val="subscript"/>
      <sz val="10"/>
      <color rgb="FF00B050"/>
      <name val="Arial"/>
      <family val="2"/>
    </font>
    <font>
      <b/>
      <sz val="10"/>
      <color rgb="FF00B050"/>
      <name val="Symbol"/>
      <family val="1"/>
      <charset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20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right"/>
    </xf>
    <xf numFmtId="164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1"/>
    <xf numFmtId="0" fontId="13" fillId="0" borderId="0" xfId="0" quotePrefix="1" applyFont="1" applyAlignment="1">
      <alignment horizontal="left"/>
    </xf>
    <xf numFmtId="0" fontId="0" fillId="0" borderId="0" xfId="0" applyNumberFormat="1"/>
    <xf numFmtId="0" fontId="14" fillId="0" borderId="0" xfId="0" applyFont="1"/>
    <xf numFmtId="0" fontId="14" fillId="0" borderId="0" xfId="0" quotePrefix="1" applyFont="1" applyAlignment="1">
      <alignment horizontal="left"/>
    </xf>
    <xf numFmtId="0" fontId="0" fillId="0" borderId="0" xfId="0" applyBorder="1"/>
    <xf numFmtId="0" fontId="0" fillId="0" borderId="37" xfId="0" applyBorder="1"/>
    <xf numFmtId="0" fontId="0" fillId="0" borderId="39" xfId="0" applyBorder="1"/>
    <xf numFmtId="0" fontId="18" fillId="0" borderId="0" xfId="0" applyFont="1"/>
    <xf numFmtId="0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19" fillId="2" borderId="12" xfId="0" applyNumberFormat="1" applyFont="1" applyFill="1" applyBorder="1" applyAlignment="1" applyProtection="1">
      <alignment horizontal="center"/>
      <protection locked="0"/>
    </xf>
    <xf numFmtId="164" fontId="19" fillId="2" borderId="8" xfId="0" applyNumberFormat="1" applyFont="1" applyFill="1" applyBorder="1" applyAlignment="1" applyProtection="1">
      <alignment horizontal="center"/>
      <protection locked="0"/>
    </xf>
    <xf numFmtId="164" fontId="19" fillId="2" borderId="21" xfId="0" applyNumberFormat="1" applyFont="1" applyFill="1" applyBorder="1" applyAlignment="1" applyProtection="1">
      <alignment horizontal="center"/>
      <protection locked="0"/>
    </xf>
    <xf numFmtId="164" fontId="19" fillId="2" borderId="17" xfId="0" applyNumberFormat="1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2" borderId="0" xfId="0" applyFill="1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0" fontId="22" fillId="0" borderId="0" xfId="0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right"/>
    </xf>
    <xf numFmtId="0" fontId="24" fillId="0" borderId="0" xfId="0" applyFont="1"/>
    <xf numFmtId="0" fontId="23" fillId="0" borderId="47" xfId="0" applyFont="1" applyBorder="1"/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Protection="1"/>
    <xf numFmtId="0" fontId="0" fillId="0" borderId="0" xfId="0" applyAlignment="1">
      <alignment horizontal="center"/>
    </xf>
    <xf numFmtId="0" fontId="0" fillId="4" borderId="0" xfId="0" applyFill="1"/>
    <xf numFmtId="0" fontId="23" fillId="4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29" fillId="0" borderId="0" xfId="0" quotePrefix="1" applyFont="1" applyAlignment="1">
      <alignment horizontal="left"/>
    </xf>
    <xf numFmtId="0" fontId="2" fillId="0" borderId="0" xfId="0" applyFont="1"/>
    <xf numFmtId="0" fontId="3" fillId="0" borderId="9" xfId="0" applyFont="1" applyBorder="1" applyAlignment="1">
      <alignment horizontal="center"/>
    </xf>
    <xf numFmtId="0" fontId="2" fillId="0" borderId="0" xfId="0" applyFont="1" applyAlignment="1"/>
    <xf numFmtId="0" fontId="13" fillId="0" borderId="0" xfId="0" quotePrefix="1" applyFont="1" applyAlignment="1">
      <alignment horizontal="center"/>
    </xf>
    <xf numFmtId="0" fontId="15" fillId="0" borderId="0" xfId="0" applyNumberFormat="1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50" xfId="0" applyFill="1" applyBorder="1" applyProtection="1"/>
    <xf numFmtId="0" fontId="0" fillId="0" borderId="51" xfId="0" applyFill="1" applyBorder="1" applyProtection="1"/>
    <xf numFmtId="0" fontId="0" fillId="0" borderId="52" xfId="0" applyFill="1" applyBorder="1" applyProtection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0" xfId="0" quotePrefix="1" applyFont="1" applyAlignment="1">
      <alignment horizontal="center"/>
    </xf>
    <xf numFmtId="0" fontId="15" fillId="2" borderId="49" xfId="0" applyNumberFormat="1" applyFont="1" applyFill="1" applyBorder="1" applyAlignment="1" applyProtection="1">
      <alignment horizontal="center"/>
      <protection locked="0"/>
    </xf>
    <xf numFmtId="0" fontId="15" fillId="2" borderId="49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166" fontId="0" fillId="0" borderId="40" xfId="0" applyNumberFormat="1" applyBorder="1"/>
    <xf numFmtId="166" fontId="0" fillId="0" borderId="37" xfId="0" applyNumberFormat="1" applyBorder="1"/>
    <xf numFmtId="166" fontId="0" fillId="0" borderId="38" xfId="0" applyNumberFormat="1" applyBorder="1"/>
    <xf numFmtId="0" fontId="29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right"/>
    </xf>
    <xf numFmtId="165" fontId="2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2" fontId="20" fillId="0" borderId="0" xfId="0" applyNumberFormat="1" applyFont="1" applyAlignment="1">
      <alignment horizontal="left"/>
    </xf>
    <xf numFmtId="0" fontId="21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165" fontId="0" fillId="6" borderId="0" xfId="0" applyNumberFormat="1" applyFill="1" applyAlignment="1">
      <alignment horizontal="center"/>
    </xf>
    <xf numFmtId="164" fontId="0" fillId="0" borderId="0" xfId="0" applyNumberFormat="1"/>
    <xf numFmtId="164" fontId="0" fillId="0" borderId="45" xfId="0" applyNumberFormat="1" applyBorder="1"/>
    <xf numFmtId="164" fontId="0" fillId="0" borderId="46" xfId="0" applyNumberFormat="1" applyBorder="1"/>
    <xf numFmtId="164" fontId="0" fillId="0" borderId="53" xfId="0" applyNumberFormat="1" applyBorder="1"/>
    <xf numFmtId="164" fontId="0" fillId="0" borderId="47" xfId="0" applyNumberFormat="1" applyBorder="1"/>
    <xf numFmtId="164" fontId="0" fillId="0" borderId="0" xfId="0" applyNumberFormat="1" applyBorder="1"/>
    <xf numFmtId="164" fontId="0" fillId="0" borderId="54" xfId="0" applyNumberFormat="1" applyBorder="1"/>
    <xf numFmtId="164" fontId="0" fillId="0" borderId="61" xfId="0" applyNumberFormat="1" applyBorder="1"/>
    <xf numFmtId="164" fontId="0" fillId="0" borderId="62" xfId="0" applyNumberFormat="1" applyBorder="1"/>
    <xf numFmtId="164" fontId="0" fillId="0" borderId="55" xfId="0" applyNumberFormat="1" applyBorder="1"/>
    <xf numFmtId="164" fontId="0" fillId="0" borderId="56" xfId="0" applyNumberFormat="1" applyBorder="1"/>
    <xf numFmtId="164" fontId="0" fillId="0" borderId="57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 applyProtection="1">
      <protection hidden="1"/>
    </xf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164" fontId="17" fillId="5" borderId="37" xfId="0" quotePrefix="1" applyNumberFormat="1" applyFont="1" applyFill="1" applyBorder="1" applyAlignment="1" applyProtection="1">
      <alignment horizontal="right"/>
      <protection locked="0"/>
    </xf>
    <xf numFmtId="164" fontId="17" fillId="5" borderId="38" xfId="0" quotePrefix="1" applyNumberFormat="1" applyFont="1" applyFill="1" applyBorder="1" applyAlignment="1" applyProtection="1">
      <alignment horizontal="right"/>
      <protection locked="0"/>
    </xf>
    <xf numFmtId="164" fontId="17" fillId="5" borderId="39" xfId="0" applyNumberFormat="1" applyFont="1" applyFill="1" applyBorder="1" applyAlignment="1" applyProtection="1">
      <alignment horizontal="right"/>
      <protection locked="0"/>
    </xf>
    <xf numFmtId="164" fontId="2" fillId="0" borderId="40" xfId="0" applyNumberFormat="1" applyFont="1" applyBorder="1"/>
    <xf numFmtId="164" fontId="0" fillId="0" borderId="33" xfId="0" applyNumberFormat="1" applyBorder="1"/>
    <xf numFmtId="164" fontId="0" fillId="0" borderId="40" xfId="0" applyNumberFormat="1" applyBorder="1"/>
    <xf numFmtId="164" fontId="0" fillId="0" borderId="50" xfId="0" applyNumberFormat="1" applyBorder="1"/>
    <xf numFmtId="164" fontId="0" fillId="0" borderId="51" xfId="0" applyNumberFormat="1" applyBorder="1"/>
    <xf numFmtId="164" fontId="0" fillId="0" borderId="52" xfId="0" applyNumberFormat="1" applyBorder="1"/>
    <xf numFmtId="164" fontId="0" fillId="0" borderId="63" xfId="0" applyNumberFormat="1" applyBorder="1"/>
    <xf numFmtId="164" fontId="0" fillId="0" borderId="64" xfId="0" applyNumberFormat="1" applyBorder="1"/>
    <xf numFmtId="164" fontId="0" fillId="0" borderId="58" xfId="0" applyNumberFormat="1" applyBorder="1"/>
    <xf numFmtId="164" fontId="0" fillId="0" borderId="59" xfId="0" applyNumberFormat="1" applyBorder="1"/>
    <xf numFmtId="164" fontId="0" fillId="0" borderId="65" xfId="0" applyNumberFormat="1" applyBorder="1"/>
    <xf numFmtId="164" fontId="0" fillId="0" borderId="60" xfId="0" applyNumberFormat="1" applyBorder="1"/>
    <xf numFmtId="0" fontId="26" fillId="0" borderId="0" xfId="0" applyFont="1" applyFill="1" applyAlignment="1">
      <alignment horizontal="right" vertical="center"/>
    </xf>
    <xf numFmtId="0" fontId="0" fillId="0" borderId="66" xfId="0" applyBorder="1"/>
    <xf numFmtId="0" fontId="0" fillId="0" borderId="67" xfId="0" applyBorder="1"/>
    <xf numFmtId="0" fontId="29" fillId="0" borderId="0" xfId="0" applyFont="1" applyAlignment="1">
      <alignment horizontal="right" vertical="center"/>
    </xf>
    <xf numFmtId="164" fontId="2" fillId="0" borderId="33" xfId="0" applyNumberFormat="1" applyFont="1" applyBorder="1"/>
    <xf numFmtId="164" fontId="25" fillId="0" borderId="48" xfId="0" applyNumberFormat="1" applyFont="1" applyBorder="1"/>
    <xf numFmtId="167" fontId="0" fillId="0" borderId="69" xfId="0" applyNumberFormat="1" applyBorder="1" applyAlignment="1">
      <alignment horizontal="center"/>
    </xf>
    <xf numFmtId="167" fontId="0" fillId="2" borderId="0" xfId="0" applyNumberFormat="1" applyFill="1" applyBorder="1" applyAlignment="1" applyProtection="1">
      <alignment horizontal="center"/>
      <protection locked="0"/>
    </xf>
    <xf numFmtId="11" fontId="0" fillId="0" borderId="38" xfId="0" applyNumberFormat="1" applyBorder="1"/>
    <xf numFmtId="0" fontId="26" fillId="0" borderId="0" xfId="0" applyFont="1" applyFill="1" applyBorder="1" applyAlignment="1">
      <alignment horizontal="center"/>
    </xf>
    <xf numFmtId="9" fontId="23" fillId="7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2" fontId="39" fillId="0" borderId="0" xfId="0" applyNumberFormat="1" applyFont="1" applyAlignment="1">
      <alignment horizontal="center"/>
    </xf>
    <xf numFmtId="164" fontId="15" fillId="2" borderId="50" xfId="0" applyNumberFormat="1" applyFont="1" applyFill="1" applyBorder="1" applyProtection="1">
      <protection locked="0"/>
    </xf>
    <xf numFmtId="164" fontId="15" fillId="2" borderId="51" xfId="0" applyNumberFormat="1" applyFont="1" applyFill="1" applyBorder="1" applyProtection="1">
      <protection locked="0"/>
    </xf>
    <xf numFmtId="164" fontId="15" fillId="2" borderId="52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0" xfId="0" applyBorder="1"/>
    <xf numFmtId="0" fontId="2" fillId="0" borderId="0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7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3" borderId="50" xfId="0" applyFill="1" applyBorder="1" applyProtection="1">
      <protection locked="0"/>
    </xf>
    <xf numFmtId="0" fontId="0" fillId="3" borderId="51" xfId="0" applyNumberFormat="1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2" xfId="0" applyFill="1" applyBorder="1" applyProtection="1">
      <protection locked="0"/>
    </xf>
    <xf numFmtId="165" fontId="23" fillId="6" borderId="0" xfId="0" applyNumberFormat="1" applyFont="1" applyFill="1" applyAlignment="1">
      <alignment horizontal="center"/>
    </xf>
    <xf numFmtId="2" fontId="23" fillId="6" borderId="0" xfId="0" applyNumberFormat="1" applyFont="1" applyFill="1" applyAlignment="1">
      <alignment horizontal="center"/>
    </xf>
    <xf numFmtId="1" fontId="0" fillId="8" borderId="68" xfId="0" applyNumberFormat="1" applyFill="1" applyBorder="1" applyAlignment="1" applyProtection="1">
      <alignment horizontal="center"/>
      <protection locked="0"/>
    </xf>
    <xf numFmtId="167" fontId="0" fillId="8" borderId="52" xfId="0" applyNumberFormat="1" applyFill="1" applyBorder="1" applyAlignment="1" applyProtection="1">
      <alignment horizontal="center"/>
      <protection locked="0"/>
    </xf>
    <xf numFmtId="0" fontId="16" fillId="5" borderId="42" xfId="0" quotePrefix="1" applyFont="1" applyFill="1" applyBorder="1" applyAlignment="1" applyProtection="1">
      <alignment horizontal="center"/>
      <protection locked="0"/>
    </xf>
    <xf numFmtId="0" fontId="16" fillId="5" borderId="43" xfId="0" quotePrefix="1" applyFont="1" applyFill="1" applyBorder="1" applyAlignment="1" applyProtection="1">
      <alignment horizontal="center"/>
      <protection locked="0"/>
    </xf>
    <xf numFmtId="0" fontId="16" fillId="5" borderId="44" xfId="0" quotePrefix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TEO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190499</xdr:colOff>
      <xdr:row>1</xdr:row>
      <xdr:rowOff>11907</xdr:rowOff>
    </xdr:from>
    <xdr:to>
      <xdr:col>7</xdr:col>
      <xdr:colOff>92480</xdr:colOff>
      <xdr:row>3</xdr:row>
      <xdr:rowOff>145160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78595"/>
          <a:ext cx="4807356" cy="466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7</xdr:col>
      <xdr:colOff>44856</xdr:colOff>
      <xdr:row>3</xdr:row>
      <xdr:rowOff>133253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66688"/>
          <a:ext cx="4807356" cy="4666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7</xdr:col>
      <xdr:colOff>44856</xdr:colOff>
      <xdr:row>3</xdr:row>
      <xdr:rowOff>133253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6688"/>
          <a:ext cx="4807356" cy="4666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23813</xdr:colOff>
      <xdr:row>32</xdr:row>
      <xdr:rowOff>0</xdr:rowOff>
    </xdr:from>
    <xdr:to>
      <xdr:col>19</xdr:col>
      <xdr:colOff>11906</xdr:colOff>
      <xdr:row>47</xdr:row>
      <xdr:rowOff>237946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1" y="5155406"/>
          <a:ext cx="4631530" cy="3214509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1</xdr:row>
      <xdr:rowOff>0</xdr:rowOff>
    </xdr:from>
    <xdr:to>
      <xdr:col>7</xdr:col>
      <xdr:colOff>402043</xdr:colOff>
      <xdr:row>3</xdr:row>
      <xdr:rowOff>133253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6688"/>
          <a:ext cx="4807356" cy="4666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</xdr:colOff>
      <xdr:row>32</xdr:row>
      <xdr:rowOff>23812</xdr:rowOff>
    </xdr:from>
    <xdr:to>
      <xdr:col>18</xdr:col>
      <xdr:colOff>761999</xdr:colOff>
      <xdr:row>48</xdr:row>
      <xdr:rowOff>11727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094" y="5107781"/>
          <a:ext cx="4631530" cy="3214509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1</xdr:row>
      <xdr:rowOff>0</xdr:rowOff>
    </xdr:from>
    <xdr:to>
      <xdr:col>7</xdr:col>
      <xdr:colOff>402043</xdr:colOff>
      <xdr:row>3</xdr:row>
      <xdr:rowOff>133253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6688"/>
          <a:ext cx="4807356" cy="4666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11907</xdr:colOff>
      <xdr:row>32</xdr:row>
      <xdr:rowOff>11906</xdr:rowOff>
    </xdr:from>
    <xdr:to>
      <xdr:col>19</xdr:col>
      <xdr:colOff>0</xdr:colOff>
      <xdr:row>47</xdr:row>
      <xdr:rowOff>249853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095" y="5095875"/>
          <a:ext cx="4631530" cy="3214509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1</xdr:row>
      <xdr:rowOff>0</xdr:rowOff>
    </xdr:from>
    <xdr:to>
      <xdr:col>7</xdr:col>
      <xdr:colOff>402043</xdr:colOff>
      <xdr:row>3</xdr:row>
      <xdr:rowOff>133253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6688"/>
          <a:ext cx="4807356" cy="4666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723513</xdr:colOff>
      <xdr:row>3</xdr:row>
      <xdr:rowOff>133253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8" y="166688"/>
          <a:ext cx="4807356" cy="46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49"/>
  <sheetViews>
    <sheetView tabSelected="1" zoomScale="80" zoomScaleNormal="80" workbookViewId="0">
      <selection activeCell="I3" sqref="I3"/>
    </sheetView>
  </sheetViews>
  <sheetFormatPr baseColWidth="10" defaultRowHeight="12.75" x14ac:dyDescent="0.2"/>
  <cols>
    <col min="1" max="1" width="2.85546875" customWidth="1"/>
    <col min="2" max="2" width="7.42578125" customWidth="1"/>
    <col min="3" max="3" width="8.42578125" customWidth="1"/>
    <col min="4" max="4" width="9.85546875" bestFit="1" customWidth="1"/>
    <col min="5" max="5" width="10.7109375" bestFit="1" customWidth="1"/>
    <col min="6" max="6" width="18.5703125" bestFit="1" customWidth="1"/>
    <col min="7" max="7" width="15.7109375" bestFit="1" customWidth="1"/>
    <col min="10" max="10" width="14.42578125" customWidth="1"/>
    <col min="11" max="11" width="11" bestFit="1" customWidth="1"/>
    <col min="12" max="12" width="15.7109375" bestFit="1" customWidth="1"/>
  </cols>
  <sheetData>
    <row r="6" spans="2:12" x14ac:dyDescent="0.2">
      <c r="B6" s="86" t="s">
        <v>86</v>
      </c>
      <c r="C6" s="85"/>
      <c r="D6" s="85"/>
      <c r="G6" s="79"/>
    </row>
    <row r="7" spans="2:12" x14ac:dyDescent="0.2">
      <c r="B7" s="48" t="s">
        <v>88</v>
      </c>
    </row>
    <row r="8" spans="2:12" x14ac:dyDescent="0.2">
      <c r="B8" s="48"/>
    </row>
    <row r="9" spans="2:12" x14ac:dyDescent="0.2">
      <c r="B9" s="48" t="s">
        <v>87</v>
      </c>
    </row>
    <row r="10" spans="2:12" x14ac:dyDescent="0.2">
      <c r="B10" s="48"/>
    </row>
    <row r="11" spans="2:12" x14ac:dyDescent="0.2">
      <c r="B11" s="68"/>
      <c r="C11" s="69" t="s">
        <v>36</v>
      </c>
    </row>
    <row r="12" spans="2:12" ht="13.5" thickBot="1" x14ac:dyDescent="0.25"/>
    <row r="13" spans="2:12" x14ac:dyDescent="0.2">
      <c r="B13" s="61" t="s">
        <v>43</v>
      </c>
      <c r="C13" s="62"/>
      <c r="D13" s="63"/>
      <c r="E13" s="62"/>
      <c r="F13" s="62"/>
      <c r="G13" s="62"/>
      <c r="H13" s="62"/>
      <c r="I13" s="62"/>
      <c r="J13" s="62"/>
      <c r="K13" s="1"/>
      <c r="L13" s="2"/>
    </row>
    <row r="14" spans="2:12" x14ac:dyDescent="0.2">
      <c r="B14" s="64" t="s">
        <v>46</v>
      </c>
      <c r="C14" s="51"/>
      <c r="D14" s="51"/>
      <c r="E14" s="51"/>
      <c r="F14" s="51"/>
      <c r="G14" s="51"/>
      <c r="H14" s="51"/>
      <c r="I14" s="51"/>
      <c r="J14" s="51"/>
      <c r="K14" s="3"/>
      <c r="L14" s="4"/>
    </row>
    <row r="15" spans="2:12" x14ac:dyDescent="0.2">
      <c r="B15" s="64" t="s">
        <v>85</v>
      </c>
      <c r="C15" s="51"/>
      <c r="D15" s="51"/>
      <c r="E15" s="51"/>
      <c r="F15" s="51"/>
      <c r="G15" s="51"/>
      <c r="H15" s="51"/>
      <c r="I15" s="51"/>
      <c r="J15" s="51"/>
      <c r="K15" s="3"/>
      <c r="L15" s="4"/>
    </row>
    <row r="16" spans="2:12" x14ac:dyDescent="0.2">
      <c r="B16" s="64" t="s">
        <v>45</v>
      </c>
      <c r="C16" s="51"/>
      <c r="D16" s="52"/>
      <c r="E16" s="51"/>
      <c r="F16" s="51"/>
      <c r="G16" s="51"/>
      <c r="H16" s="51"/>
      <c r="I16" s="51"/>
      <c r="J16" s="51"/>
      <c r="K16" s="3"/>
      <c r="L16" s="4"/>
    </row>
    <row r="17" spans="1:12" x14ac:dyDescent="0.2">
      <c r="B17" s="53" t="s">
        <v>41</v>
      </c>
      <c r="C17" s="51"/>
      <c r="D17" s="51"/>
      <c r="E17" s="56"/>
      <c r="F17" s="54" t="s">
        <v>42</v>
      </c>
      <c r="G17" s="51"/>
      <c r="H17" s="55"/>
      <c r="I17" s="51"/>
      <c r="J17" s="51"/>
      <c r="K17" s="3"/>
      <c r="L17" s="4"/>
    </row>
    <row r="18" spans="1:12" ht="13.5" thickBot="1" x14ac:dyDescent="0.25">
      <c r="B18" s="64" t="s">
        <v>6</v>
      </c>
      <c r="C18" s="51"/>
      <c r="D18" s="51"/>
      <c r="E18" s="56"/>
      <c r="F18" s="65" t="s">
        <v>7</v>
      </c>
      <c r="G18" s="51"/>
      <c r="H18" s="51"/>
      <c r="I18" s="51"/>
      <c r="J18" s="51"/>
      <c r="K18" s="3"/>
      <c r="L18" s="4"/>
    </row>
    <row r="19" spans="1:12" x14ac:dyDescent="0.2">
      <c r="B19" s="5"/>
      <c r="C19" s="6"/>
      <c r="D19" s="6" t="s">
        <v>50</v>
      </c>
      <c r="E19" s="6" t="s">
        <v>50</v>
      </c>
      <c r="F19" s="6" t="s">
        <v>51</v>
      </c>
      <c r="G19" s="6" t="s">
        <v>52</v>
      </c>
      <c r="H19" s="6" t="s">
        <v>8</v>
      </c>
      <c r="I19" s="6" t="s">
        <v>9</v>
      </c>
      <c r="J19" s="6"/>
      <c r="K19" s="6"/>
      <c r="L19" s="26"/>
    </row>
    <row r="20" spans="1:12" ht="14.25" x14ac:dyDescent="0.2">
      <c r="B20" s="8" t="s">
        <v>10</v>
      </c>
      <c r="C20" s="9" t="s">
        <v>11</v>
      </c>
      <c r="D20" s="9" t="s">
        <v>49</v>
      </c>
      <c r="E20" s="9" t="s">
        <v>48</v>
      </c>
      <c r="F20" s="9" t="s">
        <v>12</v>
      </c>
      <c r="G20" s="9" t="s">
        <v>12</v>
      </c>
      <c r="H20" s="9" t="s">
        <v>13</v>
      </c>
      <c r="I20" s="9" t="s">
        <v>14</v>
      </c>
      <c r="J20" s="9" t="s">
        <v>15</v>
      </c>
      <c r="K20" s="10" t="s">
        <v>16</v>
      </c>
      <c r="L20" s="11" t="s">
        <v>17</v>
      </c>
    </row>
    <row r="21" spans="1:12" ht="13.5" thickBot="1" x14ac:dyDescent="0.25">
      <c r="B21" s="12"/>
      <c r="C21" s="13"/>
      <c r="D21" s="14" t="s">
        <v>18</v>
      </c>
      <c r="E21" s="14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19</v>
      </c>
      <c r="K21" s="14" t="s">
        <v>19</v>
      </c>
      <c r="L21" s="91" t="s">
        <v>53</v>
      </c>
    </row>
    <row r="22" spans="1:12" x14ac:dyDescent="0.2">
      <c r="A22" s="183"/>
      <c r="B22" s="180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6">
        <v>9</v>
      </c>
      <c r="K22" s="6">
        <v>10</v>
      </c>
      <c r="L22" s="7">
        <v>11</v>
      </c>
    </row>
    <row r="23" spans="1:12" x14ac:dyDescent="0.2">
      <c r="A23" s="183"/>
      <c r="B23" s="34"/>
      <c r="C23" s="15" t="s">
        <v>20</v>
      </c>
      <c r="D23" s="57">
        <v>0</v>
      </c>
      <c r="E23" s="57">
        <v>200.00051999999999</v>
      </c>
      <c r="F23" s="23">
        <f t="array" ref="F23:F26">IF(D23:D26-D23&lt;0,(D23:D26-D23)+400,D23:D26-D23)</f>
        <v>0</v>
      </c>
      <c r="G23" s="23">
        <f t="array" ref="G23:G26">IF(E23:E26-E23&lt;0,(E23:E26-E23)+400,E23:E26-E23)</f>
        <v>0</v>
      </c>
      <c r="H23" s="23">
        <f t="array" ref="H23:H26">(F23:F26+G23:G26)/2</f>
        <v>0</v>
      </c>
      <c r="I23" s="23">
        <f t="array" ref="I23:I26">(H23:H26+H29:H32+H35:H38+H41:H44)/4</f>
        <v>0</v>
      </c>
      <c r="J23" s="185">
        <f t="array" ref="J23:J26">(I23:I26-H23:H26)*1000</f>
        <v>0</v>
      </c>
      <c r="K23" s="185">
        <f t="array" ref="K23:K26">J23:J26-J28</f>
        <v>-5.0624999996529141E-2</v>
      </c>
      <c r="L23" s="186">
        <f t="array" ref="L23:L26">(K23:K26)^2</f>
        <v>2.5628906246485754E-3</v>
      </c>
    </row>
    <row r="24" spans="1:12" x14ac:dyDescent="0.2">
      <c r="A24" s="183"/>
      <c r="C24" s="27" t="s">
        <v>21</v>
      </c>
      <c r="D24" s="57">
        <v>14.997019999999999</v>
      </c>
      <c r="E24" s="57">
        <v>214.99704</v>
      </c>
      <c r="F24" s="23">
        <v>14.997019999999999</v>
      </c>
      <c r="G24" s="23">
        <v>14.996520000000004</v>
      </c>
      <c r="H24" s="23">
        <v>14.996770000000001</v>
      </c>
      <c r="I24" s="23">
        <v>14.996982499999998</v>
      </c>
      <c r="J24" s="185">
        <v>0.21249999999639613</v>
      </c>
      <c r="K24" s="185">
        <v>0.16187499999986699</v>
      </c>
      <c r="L24" s="186">
        <v>2.6203515624956937E-2</v>
      </c>
    </row>
    <row r="25" spans="1:12" x14ac:dyDescent="0.2">
      <c r="A25" s="183"/>
      <c r="B25" s="16">
        <v>1</v>
      </c>
      <c r="C25" s="15" t="s">
        <v>22</v>
      </c>
      <c r="D25" s="57">
        <v>37.002079999999999</v>
      </c>
      <c r="E25" s="57">
        <v>237.00244000000001</v>
      </c>
      <c r="F25" s="23">
        <v>37.002079999999999</v>
      </c>
      <c r="G25" s="23">
        <v>37.001920000000013</v>
      </c>
      <c r="H25" s="23">
        <v>37.00200000000001</v>
      </c>
      <c r="I25" s="23">
        <v>37.002154999999995</v>
      </c>
      <c r="J25" s="185">
        <v>0.15499999998525027</v>
      </c>
      <c r="K25" s="185">
        <v>0.10437499998872113</v>
      </c>
      <c r="L25" s="186">
        <v>1.0894140622645536E-2</v>
      </c>
    </row>
    <row r="26" spans="1:12" x14ac:dyDescent="0.2">
      <c r="A26" s="183"/>
      <c r="B26" s="16"/>
      <c r="C26" s="16" t="s">
        <v>23</v>
      </c>
      <c r="D26" s="57">
        <v>90.000519999999995</v>
      </c>
      <c r="E26" s="57">
        <v>290.00178</v>
      </c>
      <c r="F26" s="23">
        <v>90.000519999999995</v>
      </c>
      <c r="G26" s="23">
        <v>90.001260000000002</v>
      </c>
      <c r="H26" s="23">
        <v>90.000889999999998</v>
      </c>
      <c r="I26" s="23">
        <v>90.000725000000003</v>
      </c>
      <c r="J26" s="185">
        <v>-0.16499999999552983</v>
      </c>
      <c r="K26" s="185">
        <v>-0.21562499999205897</v>
      </c>
      <c r="L26" s="186">
        <v>4.6494140621575433E-2</v>
      </c>
    </row>
    <row r="27" spans="1:12" x14ac:dyDescent="0.2">
      <c r="A27" s="183"/>
      <c r="B27" s="28"/>
      <c r="C27" s="18"/>
      <c r="D27" s="29"/>
      <c r="E27" s="29"/>
      <c r="F27" s="29"/>
      <c r="G27" s="29"/>
      <c r="H27" s="29"/>
      <c r="I27" s="30" t="s">
        <v>24</v>
      </c>
      <c r="J27" s="185">
        <f t="array" ref="J27">SUM(J23:J26)</f>
        <v>0.20249999998611656</v>
      </c>
      <c r="K27" s="185">
        <f t="array" ref="K27">SUM(K23:K26)</f>
        <v>0</v>
      </c>
      <c r="L27" s="186">
        <f t="array" ref="L27">SUM(L23:L26)</f>
        <v>8.6154687493826487E-2</v>
      </c>
    </row>
    <row r="28" spans="1:12" ht="13.5" thickBot="1" x14ac:dyDescent="0.25">
      <c r="A28" s="183"/>
      <c r="B28" s="181"/>
      <c r="C28" s="21"/>
      <c r="D28" s="31"/>
      <c r="E28" s="31"/>
      <c r="F28" s="31"/>
      <c r="G28" s="31"/>
      <c r="H28" s="31"/>
      <c r="I28" s="32" t="s">
        <v>25</v>
      </c>
      <c r="J28" s="187">
        <f>J27/4</f>
        <v>5.0624999996529141E-2</v>
      </c>
      <c r="K28" s="188"/>
      <c r="L28" s="189"/>
    </row>
    <row r="29" spans="1:12" x14ac:dyDescent="0.2">
      <c r="A29" s="183"/>
      <c r="B29" s="182"/>
      <c r="C29" s="9" t="s">
        <v>20</v>
      </c>
      <c r="D29" s="58">
        <v>50.472380000000001</v>
      </c>
      <c r="E29" s="59">
        <v>250.47257999999999</v>
      </c>
      <c r="F29" s="23">
        <f t="array" ref="F29:F32">IF(D29:D32-D29&lt;0,(D29:D32-D29)+400,D29:D32-D29)</f>
        <v>0</v>
      </c>
      <c r="G29" s="23">
        <f t="array" ref="G29:G32">IF(E29:E32-E29&lt;0,(E29:E32-E29)+400,E29:E32-E29)</f>
        <v>0</v>
      </c>
      <c r="H29" s="23">
        <f t="array" ref="H29:H32">(F29:F32+G29:G32)/2</f>
        <v>0</v>
      </c>
      <c r="I29" s="23"/>
      <c r="J29" s="185">
        <f t="array" ref="J29:J32">(I23:I26-H29:H32)*1000</f>
        <v>0</v>
      </c>
      <c r="K29" s="185">
        <f t="array" ref="K29:K32">J29:J32-J34</f>
        <v>0.17687499999841094</v>
      </c>
      <c r="L29" s="186">
        <f t="array" ref="L29:L32">(K29:K32)^2</f>
        <v>3.1284765624437869E-2</v>
      </c>
    </row>
    <row r="30" spans="1:12" x14ac:dyDescent="0.2">
      <c r="A30" s="183"/>
      <c r="C30" s="27" t="s">
        <v>21</v>
      </c>
      <c r="D30" s="57">
        <v>65.469319999999996</v>
      </c>
      <c r="E30" s="57">
        <v>265.47026</v>
      </c>
      <c r="F30" s="23">
        <v>14.996939999999995</v>
      </c>
      <c r="G30" s="23">
        <v>14.997680000000003</v>
      </c>
      <c r="H30" s="23">
        <v>14.997309999999999</v>
      </c>
      <c r="I30" s="23"/>
      <c r="J30" s="185">
        <v>-0.32750000000092427</v>
      </c>
      <c r="K30" s="185">
        <v>-0.15062500000251333</v>
      </c>
      <c r="L30" s="186">
        <v>2.2687890625757143E-2</v>
      </c>
    </row>
    <row r="31" spans="1:12" x14ac:dyDescent="0.2">
      <c r="A31" s="183"/>
      <c r="B31" s="16">
        <v>2</v>
      </c>
      <c r="C31" s="15" t="s">
        <v>22</v>
      </c>
      <c r="D31" s="57">
        <v>87.47466</v>
      </c>
      <c r="E31" s="57">
        <v>287.47483999999997</v>
      </c>
      <c r="F31" s="23">
        <v>37.002279999999999</v>
      </c>
      <c r="G31" s="23">
        <v>37.002259999999978</v>
      </c>
      <c r="H31" s="23">
        <v>37.002269999999989</v>
      </c>
      <c r="I31" s="23"/>
      <c r="J31" s="185">
        <v>-0.11499999999387001</v>
      </c>
      <c r="K31" s="185">
        <v>6.1875000004540937E-2</v>
      </c>
      <c r="L31" s="186">
        <v>3.828515625561941E-3</v>
      </c>
    </row>
    <row r="32" spans="1:12" x14ac:dyDescent="0.2">
      <c r="A32" s="183"/>
      <c r="B32" s="16"/>
      <c r="C32" s="15" t="s">
        <v>23</v>
      </c>
      <c r="D32" s="57">
        <v>140.47252</v>
      </c>
      <c r="E32" s="57">
        <v>340.47442000000001</v>
      </c>
      <c r="F32" s="23">
        <v>90.000140000000002</v>
      </c>
      <c r="G32" s="23">
        <v>90.001840000000016</v>
      </c>
      <c r="H32" s="23">
        <v>90.000990000000002</v>
      </c>
      <c r="I32" s="23"/>
      <c r="J32" s="185">
        <v>-0.26499999999884949</v>
      </c>
      <c r="K32" s="185">
        <v>-8.8125000000438547E-2</v>
      </c>
      <c r="L32" s="186">
        <v>7.766015625077294E-3</v>
      </c>
    </row>
    <row r="33" spans="1:12" x14ac:dyDescent="0.2">
      <c r="A33" s="183"/>
      <c r="B33" s="16"/>
      <c r="C33" s="18"/>
      <c r="D33" s="29"/>
      <c r="E33" s="29"/>
      <c r="F33" s="29"/>
      <c r="G33" s="29"/>
      <c r="H33" s="33"/>
      <c r="I33" s="30" t="s">
        <v>24</v>
      </c>
      <c r="J33" s="185">
        <f t="array" ref="J33">SUM(J29:J32)</f>
        <v>-0.70749999999364377</v>
      </c>
      <c r="K33" s="185">
        <f t="array" ref="K33">SUM(K29:K32)</f>
        <v>0</v>
      </c>
      <c r="L33" s="186">
        <f t="array" ref="L33">SUM(L29:L32)</f>
        <v>6.5567187500834248E-2</v>
      </c>
    </row>
    <row r="34" spans="1:12" ht="13.5" thickBot="1" x14ac:dyDescent="0.25">
      <c r="A34" s="183"/>
      <c r="B34" s="181"/>
      <c r="C34" s="21"/>
      <c r="D34" s="31"/>
      <c r="E34" s="31"/>
      <c r="F34" s="31"/>
      <c r="G34" s="31"/>
      <c r="H34" s="31"/>
      <c r="I34" s="32" t="s">
        <v>25</v>
      </c>
      <c r="J34" s="187">
        <f>J33/4</f>
        <v>-0.17687499999841094</v>
      </c>
      <c r="K34" s="188"/>
      <c r="L34" s="189"/>
    </row>
    <row r="35" spans="1:12" x14ac:dyDescent="0.2">
      <c r="A35" s="183"/>
      <c r="B35" s="16"/>
      <c r="C35" s="17" t="s">
        <v>20</v>
      </c>
      <c r="D35" s="60">
        <v>4.0000000000000003E-5</v>
      </c>
      <c r="E35" s="60">
        <v>200.0001</v>
      </c>
      <c r="F35" s="23">
        <f t="array" ref="F35:F38">IF(D35:D38-D35&lt;0,(D35:D38-D35)+400,D35:D38-D35)</f>
        <v>0</v>
      </c>
      <c r="G35" s="23">
        <f t="array" ref="G35:G38">IF(E35:E38-E35&lt;0,(E35:E38-E35)+400,E35:E38-E35)</f>
        <v>0</v>
      </c>
      <c r="H35" s="23">
        <f t="array" ref="H35:H38">(F35:F38+G35:G38)/2</f>
        <v>0</v>
      </c>
      <c r="I35" s="24"/>
      <c r="J35" s="185">
        <f t="array" ref="J35:J38">(I23:I26-H35:H38)*1000</f>
        <v>0</v>
      </c>
      <c r="K35" s="185">
        <f t="array" ref="K35:K38">J35:J38-J40</f>
        <v>9.9374999996904023E-2</v>
      </c>
      <c r="L35" s="186">
        <f t="array" ref="L35:L38">(K35:K38)^2</f>
        <v>9.8753906243846754E-3</v>
      </c>
    </row>
    <row r="36" spans="1:12" x14ac:dyDescent="0.2">
      <c r="A36" s="183"/>
      <c r="C36" s="17" t="s">
        <v>21</v>
      </c>
      <c r="D36" s="60">
        <v>14.9969</v>
      </c>
      <c r="E36" s="60">
        <v>214.99794</v>
      </c>
      <c r="F36" s="23">
        <v>14.99686</v>
      </c>
      <c r="G36" s="23">
        <v>14.997839999999997</v>
      </c>
      <c r="H36" s="23">
        <v>14.997349999999997</v>
      </c>
      <c r="I36" s="24"/>
      <c r="J36" s="185">
        <v>-0.36749999999940997</v>
      </c>
      <c r="K36" s="185">
        <v>-0.26812500000250594</v>
      </c>
      <c r="L36" s="186">
        <v>7.1891015626343813E-2</v>
      </c>
    </row>
    <row r="37" spans="1:12" x14ac:dyDescent="0.2">
      <c r="A37" s="183"/>
      <c r="B37" s="16">
        <v>3</v>
      </c>
      <c r="C37" s="17" t="s">
        <v>22</v>
      </c>
      <c r="D37" s="60">
        <v>37.001719999999999</v>
      </c>
      <c r="E37" s="60">
        <v>237.00286</v>
      </c>
      <c r="F37" s="23">
        <v>37.00168</v>
      </c>
      <c r="G37" s="23">
        <v>37.002759999999995</v>
      </c>
      <c r="H37" s="23">
        <v>37.002219999999994</v>
      </c>
      <c r="I37" s="24"/>
      <c r="J37" s="185">
        <v>-6.4999999999315605E-2</v>
      </c>
      <c r="K37" s="185">
        <v>3.4374999997588418E-2</v>
      </c>
      <c r="L37" s="186">
        <v>1.1816406248342038E-3</v>
      </c>
    </row>
    <row r="38" spans="1:12" x14ac:dyDescent="0.2">
      <c r="A38" s="183"/>
      <c r="B38" s="16"/>
      <c r="C38" s="17" t="s">
        <v>23</v>
      </c>
      <c r="D38" s="60">
        <v>90.000680000000003</v>
      </c>
      <c r="E38" s="60">
        <v>290.00083999999998</v>
      </c>
      <c r="F38" s="23">
        <v>90.000640000000004</v>
      </c>
      <c r="G38" s="23">
        <v>90.000739999999979</v>
      </c>
      <c r="H38" s="23">
        <v>90.000689999999992</v>
      </c>
      <c r="I38" s="24"/>
      <c r="J38" s="185">
        <v>3.5000000011109478E-2</v>
      </c>
      <c r="K38" s="185">
        <v>0.1343750000080135</v>
      </c>
      <c r="L38" s="186">
        <v>1.805664062715363E-2</v>
      </c>
    </row>
    <row r="39" spans="1:12" x14ac:dyDescent="0.2">
      <c r="A39" s="183"/>
      <c r="B39" s="16"/>
      <c r="C39" s="18"/>
      <c r="D39" s="29"/>
      <c r="E39" s="29"/>
      <c r="F39" s="29"/>
      <c r="G39" s="29"/>
      <c r="H39" s="33"/>
      <c r="I39" s="30" t="s">
        <v>24</v>
      </c>
      <c r="J39" s="185">
        <f t="array" ref="J39">SUM(J35:J38)</f>
        <v>-0.39749999998761609</v>
      </c>
      <c r="K39" s="185">
        <f t="array" ref="K39">SUM(K35:K38)</f>
        <v>0</v>
      </c>
      <c r="L39" s="186">
        <f t="array" ref="L39">SUM(L35:L38)</f>
        <v>0.10100468750271634</v>
      </c>
    </row>
    <row r="40" spans="1:12" ht="13.5" thickBot="1" x14ac:dyDescent="0.25">
      <c r="A40" s="183"/>
      <c r="B40" s="181"/>
      <c r="C40" s="21"/>
      <c r="D40" s="31"/>
      <c r="E40" s="31"/>
      <c r="F40" s="31"/>
      <c r="G40" s="31"/>
      <c r="H40" s="31"/>
      <c r="I40" s="32" t="s">
        <v>25</v>
      </c>
      <c r="J40" s="187">
        <f>J39/4</f>
        <v>-9.9374999996904023E-2</v>
      </c>
      <c r="K40" s="188"/>
      <c r="L40" s="189"/>
    </row>
    <row r="41" spans="1:12" x14ac:dyDescent="0.2">
      <c r="A41" s="183"/>
      <c r="B41" s="16"/>
      <c r="C41" s="17" t="s">
        <v>20</v>
      </c>
      <c r="D41" s="60">
        <v>0</v>
      </c>
      <c r="E41" s="60">
        <v>200.00056000000001</v>
      </c>
      <c r="F41" s="23">
        <f t="array" ref="F41:F44">IF(D41:D44-D41&lt;0,(D41:D44-D41)+400,D41:D44-D41)</f>
        <v>0</v>
      </c>
      <c r="G41" s="23">
        <f t="array" ref="G41:G44">IF(E41:E44-E41&lt;0,(E41:E44-E41)+400,E41:E44-E41)</f>
        <v>0</v>
      </c>
      <c r="H41" s="23">
        <f t="array" ref="H41:H44">(F41:F44+G41:G44)/2</f>
        <v>0</v>
      </c>
      <c r="I41" s="24"/>
      <c r="J41" s="185">
        <f t="array" ref="J41:J44">(I23:I26-H41:H44)*1000</f>
        <v>0</v>
      </c>
      <c r="K41" s="185">
        <f t="array" ref="K41:K44">J41:J44-J46</f>
        <v>-0.22562499999612129</v>
      </c>
      <c r="L41" s="186">
        <f t="array" ref="L41:L44">(K41:K44)^2</f>
        <v>5.0906640623249733E-2</v>
      </c>
    </row>
    <row r="42" spans="1:12" x14ac:dyDescent="0.2">
      <c r="A42" s="183"/>
      <c r="C42" s="17" t="s">
        <v>21</v>
      </c>
      <c r="D42" s="60">
        <v>14.996499999999999</v>
      </c>
      <c r="E42" s="60">
        <v>214.99706</v>
      </c>
      <c r="F42" s="23">
        <v>14.996499999999999</v>
      </c>
      <c r="G42" s="23">
        <v>14.996499999999997</v>
      </c>
      <c r="H42" s="23">
        <v>14.996499999999997</v>
      </c>
      <c r="I42" s="24"/>
      <c r="J42" s="185">
        <v>0.4825000000003854</v>
      </c>
      <c r="K42" s="185">
        <v>0.25687500000426411</v>
      </c>
      <c r="L42" s="186">
        <v>6.5984765627190689E-2</v>
      </c>
    </row>
    <row r="43" spans="1:12" x14ac:dyDescent="0.2">
      <c r="A43" s="183"/>
      <c r="B43" s="16">
        <v>4</v>
      </c>
      <c r="C43" s="17" t="s">
        <v>22</v>
      </c>
      <c r="D43" s="60">
        <v>37.001980000000003</v>
      </c>
      <c r="E43" s="60">
        <v>237.00283999999999</v>
      </c>
      <c r="F43" s="23">
        <v>37.001980000000003</v>
      </c>
      <c r="G43" s="23">
        <v>37.002279999999985</v>
      </c>
      <c r="H43" s="23">
        <v>37.002129999999994</v>
      </c>
      <c r="I43" s="24"/>
      <c r="J43" s="185">
        <v>2.5000000000829914E-2</v>
      </c>
      <c r="K43" s="185">
        <v>-0.20062499999529138</v>
      </c>
      <c r="L43" s="186">
        <v>4.0250390623110664E-2</v>
      </c>
    </row>
    <row r="44" spans="1:12" x14ac:dyDescent="0.2">
      <c r="A44" s="183"/>
      <c r="B44" s="16"/>
      <c r="C44" s="17" t="s">
        <v>23</v>
      </c>
      <c r="D44" s="60">
        <v>90.000240000000005</v>
      </c>
      <c r="E44" s="60">
        <v>290.00098000000003</v>
      </c>
      <c r="F44" s="23">
        <v>90.000240000000005</v>
      </c>
      <c r="G44" s="23">
        <v>90.00042000000002</v>
      </c>
      <c r="H44" s="23">
        <v>90.000330000000019</v>
      </c>
      <c r="I44" s="24"/>
      <c r="J44" s="185">
        <v>0.39499999998326984</v>
      </c>
      <c r="K44" s="185">
        <v>0.16937499998714856</v>
      </c>
      <c r="L44" s="186">
        <v>2.8687890620646573E-2</v>
      </c>
    </row>
    <row r="45" spans="1:12" x14ac:dyDescent="0.2">
      <c r="A45" s="183"/>
      <c r="B45" s="16"/>
      <c r="C45" s="18"/>
      <c r="D45" s="18"/>
      <c r="E45" s="18"/>
      <c r="F45" s="18"/>
      <c r="G45" s="18"/>
      <c r="H45" s="34"/>
      <c r="I45" s="35" t="s">
        <v>24</v>
      </c>
      <c r="J45" s="185">
        <f t="array" ref="J45">SUM(J41:J44)</f>
        <v>0.90249999998448516</v>
      </c>
      <c r="K45" s="185">
        <f t="array" ref="K45">SUM(K41:K44)</f>
        <v>0</v>
      </c>
      <c r="L45" s="186">
        <f t="array" ref="L45">SUM(L41:L44)</f>
        <v>0.18582968749419768</v>
      </c>
    </row>
    <row r="46" spans="1:12" ht="13.5" thickBot="1" x14ac:dyDescent="0.25">
      <c r="A46" s="183"/>
      <c r="B46" s="181"/>
      <c r="C46" s="21"/>
      <c r="D46" s="21"/>
      <c r="E46" s="21"/>
      <c r="F46" s="21"/>
      <c r="G46" s="21"/>
      <c r="H46" s="21"/>
      <c r="I46" s="36" t="s">
        <v>25</v>
      </c>
      <c r="J46" s="187">
        <f>J45/4</f>
        <v>0.22562499999612129</v>
      </c>
      <c r="K46" s="188"/>
      <c r="L46" s="189"/>
    </row>
    <row r="47" spans="1:12" ht="14.25" x14ac:dyDescent="0.2">
      <c r="B47" s="8"/>
      <c r="C47" s="19"/>
      <c r="D47" s="19"/>
      <c r="E47" s="19"/>
      <c r="F47" s="19"/>
      <c r="G47" s="19"/>
      <c r="H47" s="19"/>
      <c r="I47" s="19"/>
      <c r="J47" s="37" t="s">
        <v>26</v>
      </c>
      <c r="L47" s="25">
        <f>L27+L33+L39+L45</f>
        <v>0.43855624999157472</v>
      </c>
    </row>
    <row r="48" spans="1:12" ht="16.5" x14ac:dyDescent="0.3">
      <c r="B48" s="38" t="s">
        <v>27</v>
      </c>
      <c r="C48" s="117">
        <f>SQRT(L47/9)</f>
        <v>0.22074526545610459</v>
      </c>
      <c r="D48" s="19"/>
      <c r="E48" s="19"/>
      <c r="F48" s="19"/>
      <c r="G48" s="19"/>
      <c r="H48" s="19"/>
      <c r="I48" s="19"/>
      <c r="J48" s="19"/>
      <c r="K48" s="19"/>
      <c r="L48" s="20"/>
    </row>
    <row r="49" spans="2:12" ht="13.5" thickBot="1" x14ac:dyDescent="0.25">
      <c r="B49" s="12" t="s">
        <v>28</v>
      </c>
      <c r="C49" s="21"/>
      <c r="D49" s="21"/>
      <c r="E49" s="21"/>
      <c r="F49" s="21"/>
      <c r="G49" s="21"/>
      <c r="H49" s="21"/>
      <c r="I49" s="21"/>
      <c r="J49" s="21"/>
      <c r="K49" s="21"/>
      <c r="L49" s="22"/>
    </row>
  </sheetData>
  <sheetProtection sheet="1" objects="1" scenarios="1"/>
  <phoneticPr fontId="3" type="noConversion"/>
  <printOptions gridLines="1" gridLinesSet="0"/>
  <pageMargins left="1.32" right="0.75" top="0.75" bottom="0.79" header="0.511811024" footer="0.511811024"/>
  <pageSetup paperSize="9" scale="62" orientation="landscape" horizontalDpi="300" verticalDpi="300" r:id="rId1"/>
  <headerFooter alignWithMargins="0"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49"/>
  <sheetViews>
    <sheetView zoomScale="80" zoomScaleNormal="80" workbookViewId="0">
      <selection activeCell="I6" sqref="I6"/>
    </sheetView>
  </sheetViews>
  <sheetFormatPr baseColWidth="10" defaultRowHeight="12.75" x14ac:dyDescent="0.2"/>
  <cols>
    <col min="1" max="1" width="3" customWidth="1"/>
    <col min="2" max="2" width="6.7109375" customWidth="1"/>
    <col min="3" max="4" width="9.85546875" customWidth="1"/>
    <col min="5" max="5" width="10.7109375" bestFit="1" customWidth="1"/>
    <col min="6" max="6" width="18.5703125" bestFit="1" customWidth="1"/>
    <col min="7" max="7" width="15.7109375" bestFit="1" customWidth="1"/>
  </cols>
  <sheetData>
    <row r="6" spans="2:12" x14ac:dyDescent="0.2">
      <c r="B6" s="86" t="s">
        <v>86</v>
      </c>
      <c r="C6" s="85"/>
      <c r="D6" s="85"/>
    </row>
    <row r="7" spans="2:12" x14ac:dyDescent="0.2">
      <c r="B7" s="48" t="s">
        <v>88</v>
      </c>
    </row>
    <row r="8" spans="2:12" x14ac:dyDescent="0.2">
      <c r="B8" s="48"/>
    </row>
    <row r="9" spans="2:12" x14ac:dyDescent="0.2">
      <c r="B9" s="48" t="s">
        <v>90</v>
      </c>
    </row>
    <row r="10" spans="2:12" x14ac:dyDescent="0.2">
      <c r="B10" s="48"/>
    </row>
    <row r="11" spans="2:12" x14ac:dyDescent="0.2">
      <c r="B11" s="68"/>
      <c r="C11" s="69" t="s">
        <v>36</v>
      </c>
    </row>
    <row r="12" spans="2:12" ht="13.5" thickBot="1" x14ac:dyDescent="0.25"/>
    <row r="13" spans="2:12" x14ac:dyDescent="0.2">
      <c r="B13" s="61" t="s">
        <v>43</v>
      </c>
      <c r="C13" s="62"/>
      <c r="D13" s="63"/>
      <c r="E13" s="62"/>
      <c r="F13" s="62"/>
      <c r="G13" s="62"/>
      <c r="H13" s="62"/>
      <c r="I13" s="62"/>
      <c r="J13" s="62"/>
      <c r="K13" s="1"/>
      <c r="L13" s="2"/>
    </row>
    <row r="14" spans="2:12" x14ac:dyDescent="0.2">
      <c r="B14" s="64" t="s">
        <v>44</v>
      </c>
      <c r="C14" s="51"/>
      <c r="D14" s="51"/>
      <c r="E14" s="51"/>
      <c r="F14" s="51"/>
      <c r="G14" s="51"/>
      <c r="H14" s="51"/>
      <c r="I14" s="51"/>
      <c r="J14" s="51"/>
      <c r="K14" s="3"/>
      <c r="L14" s="4"/>
    </row>
    <row r="15" spans="2:12" x14ac:dyDescent="0.2">
      <c r="B15" s="64" t="s">
        <v>85</v>
      </c>
      <c r="C15" s="51"/>
      <c r="D15" s="51"/>
      <c r="E15" s="51"/>
      <c r="F15" s="51"/>
      <c r="G15" s="51"/>
      <c r="H15" s="51"/>
      <c r="I15" s="51"/>
      <c r="J15" s="51"/>
      <c r="K15" s="3"/>
      <c r="L15" s="4"/>
    </row>
    <row r="16" spans="2:12" x14ac:dyDescent="0.2">
      <c r="B16" s="64" t="str">
        <f>Horiz.1!B16</f>
        <v xml:space="preserve">Instrumento:   </v>
      </c>
      <c r="C16" s="83"/>
      <c r="D16" s="52"/>
      <c r="E16" s="51"/>
      <c r="F16" s="51"/>
      <c r="G16" s="51"/>
      <c r="H16" s="51"/>
      <c r="I16" s="51"/>
      <c r="J16" s="51"/>
      <c r="K16" s="3"/>
      <c r="L16" s="4"/>
    </row>
    <row r="17" spans="1:12" x14ac:dyDescent="0.2">
      <c r="B17" s="53" t="s">
        <v>41</v>
      </c>
      <c r="C17" s="51"/>
      <c r="D17" s="51"/>
      <c r="E17" s="56"/>
      <c r="F17" s="54" t="s">
        <v>42</v>
      </c>
      <c r="G17" s="51"/>
      <c r="H17" s="55"/>
      <c r="I17" s="51"/>
      <c r="J17" s="51"/>
      <c r="K17" s="3"/>
      <c r="L17" s="4"/>
    </row>
    <row r="18" spans="1:12" ht="13.5" thickBot="1" x14ac:dyDescent="0.25">
      <c r="B18" s="64" t="s">
        <v>6</v>
      </c>
      <c r="C18" s="51"/>
      <c r="D18" s="51"/>
      <c r="E18" s="56"/>
      <c r="F18" s="65" t="s">
        <v>7</v>
      </c>
      <c r="G18" s="51"/>
      <c r="H18" s="51"/>
      <c r="I18" s="51"/>
      <c r="J18" s="51"/>
      <c r="K18" s="3"/>
      <c r="L18" s="4"/>
    </row>
    <row r="19" spans="1:12" x14ac:dyDescent="0.2">
      <c r="B19" s="5"/>
      <c r="C19" s="6"/>
      <c r="D19" s="6" t="s">
        <v>50</v>
      </c>
      <c r="E19" s="6" t="s">
        <v>50</v>
      </c>
      <c r="F19" s="6" t="s">
        <v>51</v>
      </c>
      <c r="G19" s="6" t="s">
        <v>52</v>
      </c>
      <c r="H19" s="6" t="s">
        <v>8</v>
      </c>
      <c r="I19" s="6" t="s">
        <v>9</v>
      </c>
      <c r="J19" s="6"/>
      <c r="K19" s="6"/>
      <c r="L19" s="26"/>
    </row>
    <row r="20" spans="1:12" ht="14.25" x14ac:dyDescent="0.2">
      <c r="B20" s="8" t="s">
        <v>10</v>
      </c>
      <c r="C20" s="9" t="s">
        <v>11</v>
      </c>
      <c r="D20" s="9" t="s">
        <v>49</v>
      </c>
      <c r="E20" s="9" t="s">
        <v>48</v>
      </c>
      <c r="F20" s="9" t="s">
        <v>12</v>
      </c>
      <c r="G20" s="9" t="s">
        <v>12</v>
      </c>
      <c r="H20" s="9" t="s">
        <v>13</v>
      </c>
      <c r="I20" s="9" t="s">
        <v>14</v>
      </c>
      <c r="J20" s="9" t="s">
        <v>15</v>
      </c>
      <c r="K20" s="10" t="s">
        <v>16</v>
      </c>
      <c r="L20" s="11" t="s">
        <v>17</v>
      </c>
    </row>
    <row r="21" spans="1:12" ht="13.5" thickBot="1" x14ac:dyDescent="0.25">
      <c r="A21" s="183"/>
      <c r="B21" s="21"/>
      <c r="C21" s="13"/>
      <c r="D21" s="14" t="s">
        <v>18</v>
      </c>
      <c r="E21" s="14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19</v>
      </c>
      <c r="K21" s="14" t="s">
        <v>19</v>
      </c>
      <c r="L21" s="91" t="s">
        <v>53</v>
      </c>
    </row>
    <row r="22" spans="1:12" x14ac:dyDescent="0.2">
      <c r="A22" s="183"/>
      <c r="B22" s="180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6">
        <v>9</v>
      </c>
      <c r="K22" s="6">
        <v>10</v>
      </c>
      <c r="L22" s="7">
        <v>11</v>
      </c>
    </row>
    <row r="23" spans="1:12" x14ac:dyDescent="0.2">
      <c r="A23" s="183"/>
      <c r="B23" s="34"/>
      <c r="C23" s="15" t="s">
        <v>20</v>
      </c>
      <c r="D23" s="57">
        <v>0</v>
      </c>
      <c r="E23" s="57">
        <v>200.00084000000001</v>
      </c>
      <c r="F23" s="23">
        <f t="array" ref="F23:F26">IF(D23:D26-D23&lt;0,(D23:D26-D23)+400,D23:D26-D23)</f>
        <v>0</v>
      </c>
      <c r="G23" s="23">
        <f t="array" ref="G23:G26">IF(E23:E26-E23&lt;0,(E23:E26-E23)+400,E23:E26-E23)</f>
        <v>0</v>
      </c>
      <c r="H23" s="23">
        <f t="array" ref="H23:H26">(F23:F26+G23:G26)/2</f>
        <v>0</v>
      </c>
      <c r="I23" s="23">
        <f t="array" ref="I23:I26">(H23:H26+H29:H32+H35:H38+H41:H44)/4</f>
        <v>0</v>
      </c>
      <c r="J23" s="185">
        <f t="array" ref="J23:J26">(I23:I26-H23:H26)*1000</f>
        <v>0</v>
      </c>
      <c r="K23" s="185">
        <f t="array" ref="K23:K26">J23:J26-J28</f>
        <v>-0.15562499999965951</v>
      </c>
      <c r="L23" s="186">
        <f t="array" ref="L23:L26">(K23:K26)^2</f>
        <v>2.4219140624894022E-2</v>
      </c>
    </row>
    <row r="24" spans="1:12" x14ac:dyDescent="0.2">
      <c r="A24" s="183"/>
      <c r="C24" s="27" t="s">
        <v>21</v>
      </c>
      <c r="D24" s="57">
        <v>14.996420000000001</v>
      </c>
      <c r="E24" s="57">
        <v>214.99758</v>
      </c>
      <c r="F24" s="23">
        <v>14.996420000000001</v>
      </c>
      <c r="G24" s="23">
        <v>14.996739999999988</v>
      </c>
      <c r="H24" s="23">
        <v>14.996579999999994</v>
      </c>
      <c r="I24" s="23">
        <v>14.996662499999999</v>
      </c>
      <c r="J24" s="185">
        <v>8.2500000004870344E-2</v>
      </c>
      <c r="K24" s="185">
        <v>-7.3124999994789164E-2</v>
      </c>
      <c r="L24" s="186">
        <v>5.3472656242379152E-3</v>
      </c>
    </row>
    <row r="25" spans="1:12" x14ac:dyDescent="0.2">
      <c r="A25" s="183"/>
      <c r="B25" s="16">
        <v>1</v>
      </c>
      <c r="C25" s="15" t="s">
        <v>22</v>
      </c>
      <c r="D25" s="57">
        <v>37.001260000000002</v>
      </c>
      <c r="E25" s="57">
        <v>237.00236000000001</v>
      </c>
      <c r="F25" s="23">
        <v>37.001260000000002</v>
      </c>
      <c r="G25" s="23">
        <v>37.001519999999999</v>
      </c>
      <c r="H25" s="23">
        <v>37.001390000000001</v>
      </c>
      <c r="I25" s="23">
        <v>37.001837500000001</v>
      </c>
      <c r="J25" s="185">
        <v>0.44749999999993406</v>
      </c>
      <c r="K25" s="185">
        <v>0.29187500000027455</v>
      </c>
      <c r="L25" s="186">
        <v>8.5191015625160266E-2</v>
      </c>
    </row>
    <row r="26" spans="1:12" x14ac:dyDescent="0.2">
      <c r="A26" s="183"/>
      <c r="B26" s="16"/>
      <c r="C26" s="16" t="s">
        <v>23</v>
      </c>
      <c r="D26" s="57">
        <v>89.999899999999997</v>
      </c>
      <c r="E26" s="57">
        <v>290.0018</v>
      </c>
      <c r="F26" s="23">
        <v>89.999899999999997</v>
      </c>
      <c r="G26" s="23">
        <v>90.000959999999992</v>
      </c>
      <c r="H26" s="23">
        <v>90.000429999999994</v>
      </c>
      <c r="I26" s="23">
        <v>90.000522499999988</v>
      </c>
      <c r="J26" s="185">
        <v>9.2499999993833626E-2</v>
      </c>
      <c r="K26" s="185">
        <v>-6.3125000005825882E-2</v>
      </c>
      <c r="L26" s="186">
        <v>3.9847656257355176E-3</v>
      </c>
    </row>
    <row r="27" spans="1:12" x14ac:dyDescent="0.2">
      <c r="A27" s="183"/>
      <c r="B27" s="28"/>
      <c r="C27" s="18"/>
      <c r="D27" s="29"/>
      <c r="E27" s="29"/>
      <c r="F27" s="29"/>
      <c r="G27" s="29"/>
      <c r="H27" s="29"/>
      <c r="I27" s="30" t="s">
        <v>24</v>
      </c>
      <c r="J27" s="185">
        <f t="array" ref="J27">SUM(J23:J26)</f>
        <v>0.62249999999863803</v>
      </c>
      <c r="K27" s="185">
        <f t="array" ref="K27">SUM(K23:K26)</f>
        <v>0</v>
      </c>
      <c r="L27" s="186">
        <f t="array" ref="L27">SUM(L23:L26)</f>
        <v>0.11874218750002773</v>
      </c>
    </row>
    <row r="28" spans="1:12" ht="13.5" thickBot="1" x14ac:dyDescent="0.25">
      <c r="A28" s="183"/>
      <c r="B28" s="181"/>
      <c r="C28" s="21"/>
      <c r="D28" s="31"/>
      <c r="E28" s="31"/>
      <c r="F28" s="31"/>
      <c r="G28" s="31"/>
      <c r="H28" s="31"/>
      <c r="I28" s="32" t="s">
        <v>25</v>
      </c>
      <c r="J28" s="187">
        <f>J27/4</f>
        <v>0.15562499999965951</v>
      </c>
      <c r="K28" s="188"/>
      <c r="L28" s="189"/>
    </row>
    <row r="29" spans="1:12" x14ac:dyDescent="0.2">
      <c r="A29" s="183"/>
      <c r="B29" s="182"/>
      <c r="C29" s="9" t="s">
        <v>20</v>
      </c>
      <c r="D29" s="58">
        <v>0</v>
      </c>
      <c r="E29" s="59">
        <v>200.00020000000001</v>
      </c>
      <c r="F29" s="23">
        <f t="array" ref="F29:F32">IF(D29:D32-D29&lt;0,(D29:D32-D29)+400,D29:D32-D29)</f>
        <v>0</v>
      </c>
      <c r="G29" s="23">
        <f t="array" ref="G29:G32">IF(E29:E32-E29&lt;0,(E29:E32-E29)+400,E29:E32-E29)</f>
        <v>0</v>
      </c>
      <c r="H29" s="23">
        <f t="array" ref="H29:H32">(F29:F32+G29:G32)/2</f>
        <v>0</v>
      </c>
      <c r="I29" s="23"/>
      <c r="J29" s="185">
        <f t="array" ref="J29:J32">(I23:I26-H29:H32)*1000</f>
        <v>0</v>
      </c>
      <c r="K29" s="185">
        <f t="array" ref="K29:K32">J29:J32-J34</f>
        <v>0.264375000003092</v>
      </c>
      <c r="L29" s="186">
        <f t="array" ref="L29:L32">(K29:K32)^2</f>
        <v>6.989414062663489E-2</v>
      </c>
    </row>
    <row r="30" spans="1:12" x14ac:dyDescent="0.2">
      <c r="A30" s="183"/>
      <c r="C30" s="27" t="s">
        <v>21</v>
      </c>
      <c r="D30" s="57">
        <v>14.99676</v>
      </c>
      <c r="E30" s="57">
        <v>214.99698000000001</v>
      </c>
      <c r="F30" s="23">
        <v>14.99676</v>
      </c>
      <c r="G30" s="23">
        <v>14.996780000000001</v>
      </c>
      <c r="H30" s="23">
        <v>14.996770000000001</v>
      </c>
      <c r="I30" s="23"/>
      <c r="J30" s="185">
        <v>-0.10750000000214754</v>
      </c>
      <c r="K30" s="185">
        <v>0.15687500000094445</v>
      </c>
      <c r="L30" s="186">
        <v>2.4609765625296324E-2</v>
      </c>
    </row>
    <row r="31" spans="1:12" x14ac:dyDescent="0.2">
      <c r="A31" s="183"/>
      <c r="B31" s="16">
        <v>2</v>
      </c>
      <c r="C31" s="15" t="s">
        <v>22</v>
      </c>
      <c r="D31" s="57">
        <v>37.002000000000002</v>
      </c>
      <c r="E31" s="57">
        <v>237.00290000000001</v>
      </c>
      <c r="F31" s="23">
        <v>37.002000000000002</v>
      </c>
      <c r="G31" s="23">
        <v>37.002700000000004</v>
      </c>
      <c r="H31" s="23">
        <v>37.002350000000007</v>
      </c>
      <c r="I31" s="23"/>
      <c r="J31" s="185">
        <v>-0.51250000000635509</v>
      </c>
      <c r="K31" s="185">
        <v>-0.2481250000032631</v>
      </c>
      <c r="L31" s="186">
        <v>6.1566015626619314E-2</v>
      </c>
    </row>
    <row r="32" spans="1:12" x14ac:dyDescent="0.2">
      <c r="A32" s="183"/>
      <c r="B32" s="16"/>
      <c r="C32" s="15" t="s">
        <v>23</v>
      </c>
      <c r="D32" s="57">
        <v>90.000540000000001</v>
      </c>
      <c r="E32" s="57">
        <v>290.00157999999999</v>
      </c>
      <c r="F32" s="23">
        <v>90.000540000000001</v>
      </c>
      <c r="G32" s="23">
        <v>90.001379999999983</v>
      </c>
      <c r="H32" s="23">
        <v>90.000959999999992</v>
      </c>
      <c r="I32" s="23"/>
      <c r="J32" s="185">
        <v>-0.43750000000386535</v>
      </c>
      <c r="K32" s="185">
        <v>-0.17312500000077335</v>
      </c>
      <c r="L32" s="186">
        <v>2.9972265625267773E-2</v>
      </c>
    </row>
    <row r="33" spans="1:12" x14ac:dyDescent="0.2">
      <c r="A33" s="183"/>
      <c r="B33" s="16"/>
      <c r="C33" s="18"/>
      <c r="D33" s="29"/>
      <c r="E33" s="29"/>
      <c r="F33" s="29"/>
      <c r="G33" s="29"/>
      <c r="H33" s="33"/>
      <c r="I33" s="30" t="s">
        <v>24</v>
      </c>
      <c r="J33" s="185">
        <f t="array" ref="J33">SUM(J29:J32)</f>
        <v>-1.057500000012368</v>
      </c>
      <c r="K33" s="185">
        <f t="array" ref="K33">SUM(K29:K32)</f>
        <v>0</v>
      </c>
      <c r="L33" s="186">
        <f t="array" ref="L33">SUM(L29:L32)</f>
        <v>0.18604218750381829</v>
      </c>
    </row>
    <row r="34" spans="1:12" ht="13.5" thickBot="1" x14ac:dyDescent="0.25">
      <c r="A34" s="183"/>
      <c r="B34" s="181"/>
      <c r="C34" s="21"/>
      <c r="D34" s="31"/>
      <c r="E34" s="31"/>
      <c r="F34" s="31"/>
      <c r="G34" s="31"/>
      <c r="H34" s="31"/>
      <c r="I34" s="32" t="s">
        <v>25</v>
      </c>
      <c r="J34" s="187">
        <f>J33/4</f>
        <v>-0.264375000003092</v>
      </c>
      <c r="K34" s="188"/>
      <c r="L34" s="189"/>
    </row>
    <row r="35" spans="1:12" x14ac:dyDescent="0.2">
      <c r="A35" s="183"/>
      <c r="B35" s="16"/>
      <c r="C35" s="17" t="s">
        <v>20</v>
      </c>
      <c r="D35" s="60">
        <v>0</v>
      </c>
      <c r="E35" s="60">
        <v>199.99997999999999</v>
      </c>
      <c r="F35" s="23">
        <f t="array" ref="F35:F38">IF(D35:D38-D35&lt;0,(D35:D38-D35)+400,D35:D38-D35)</f>
        <v>0</v>
      </c>
      <c r="G35" s="23">
        <f t="array" ref="G35:G38">IF(E35:E38-E35&lt;0,(E35:E38-E35)+400,E35:E38-E35)</f>
        <v>0</v>
      </c>
      <c r="H35" s="23">
        <f t="array" ref="H35:H38">(F35:F38+G35:G38)/2</f>
        <v>0</v>
      </c>
      <c r="I35" s="24"/>
      <c r="J35" s="185">
        <f t="array" ref="J35:J38">(I23:I26-H35:H38)*1000</f>
        <v>0</v>
      </c>
      <c r="K35" s="185">
        <f t="array" ref="K35:K38">J35:J38-J40</f>
        <v>-4.5624999993609805E-2</v>
      </c>
      <c r="L35" s="186">
        <f t="array" ref="L35:L38">(K35:K38)^2</f>
        <v>2.0816406244168945E-3</v>
      </c>
    </row>
    <row r="36" spans="1:12" x14ac:dyDescent="0.2">
      <c r="A36" s="183"/>
      <c r="C36" s="17" t="s">
        <v>21</v>
      </c>
      <c r="D36" s="60">
        <v>14.99634</v>
      </c>
      <c r="E36" s="60">
        <v>214.99698000000001</v>
      </c>
      <c r="F36" s="23">
        <v>14.99634</v>
      </c>
      <c r="G36" s="23">
        <v>14.997000000000014</v>
      </c>
      <c r="H36" s="23">
        <v>14.996670000000007</v>
      </c>
      <c r="I36" s="24"/>
      <c r="J36" s="185">
        <v>-7.5000000077096729E-3</v>
      </c>
      <c r="K36" s="185">
        <v>-5.3125000001319478E-2</v>
      </c>
      <c r="L36" s="186">
        <v>2.8222656251401944E-3</v>
      </c>
    </row>
    <row r="37" spans="1:12" x14ac:dyDescent="0.2">
      <c r="A37" s="183"/>
      <c r="B37" s="16">
        <v>3</v>
      </c>
      <c r="C37" s="17" t="s">
        <v>22</v>
      </c>
      <c r="D37" s="60">
        <v>37.001620000000003</v>
      </c>
      <c r="E37" s="60">
        <v>237.00229999999999</v>
      </c>
      <c r="F37" s="23">
        <v>37.001620000000003</v>
      </c>
      <c r="G37" s="23">
        <v>37.002319999999997</v>
      </c>
      <c r="H37" s="23">
        <v>37.00197</v>
      </c>
      <c r="I37" s="24"/>
      <c r="J37" s="185">
        <v>-0.13249999999942474</v>
      </c>
      <c r="K37" s="185">
        <v>-0.17812499999303455</v>
      </c>
      <c r="L37" s="186">
        <v>3.1728515622518556E-2</v>
      </c>
    </row>
    <row r="38" spans="1:12" x14ac:dyDescent="0.2">
      <c r="A38" s="183"/>
      <c r="B38" s="16"/>
      <c r="C38" s="17" t="s">
        <v>23</v>
      </c>
      <c r="D38" s="60">
        <v>89.999859999999998</v>
      </c>
      <c r="E38" s="60">
        <v>290.00051999999999</v>
      </c>
      <c r="F38" s="23">
        <v>89.999859999999998</v>
      </c>
      <c r="G38" s="23">
        <v>90.000540000000001</v>
      </c>
      <c r="H38" s="23">
        <v>90.000200000000007</v>
      </c>
      <c r="I38" s="24"/>
      <c r="J38" s="185">
        <v>0.32249999998157364</v>
      </c>
      <c r="K38" s="185">
        <v>0.27687499998796383</v>
      </c>
      <c r="L38" s="186">
        <v>7.6659765618334971E-2</v>
      </c>
    </row>
    <row r="39" spans="1:12" x14ac:dyDescent="0.2">
      <c r="A39" s="183"/>
      <c r="B39" s="16"/>
      <c r="C39" s="18"/>
      <c r="D39" s="29"/>
      <c r="E39" s="29"/>
      <c r="F39" s="29"/>
      <c r="G39" s="29"/>
      <c r="H39" s="33"/>
      <c r="I39" s="30" t="s">
        <v>24</v>
      </c>
      <c r="J39" s="185">
        <f t="array" ref="J39">SUM(J35:J38)</f>
        <v>0.18249999997443922</v>
      </c>
      <c r="K39" s="185">
        <f t="array" ref="K39">SUM(K35:K38)</f>
        <v>0</v>
      </c>
      <c r="L39" s="186">
        <f t="array" ref="L39">SUM(L35:L38)</f>
        <v>0.11329218749041062</v>
      </c>
    </row>
    <row r="40" spans="1:12" ht="13.5" thickBot="1" x14ac:dyDescent="0.25">
      <c r="A40" s="183"/>
      <c r="B40" s="181"/>
      <c r="C40" s="21"/>
      <c r="D40" s="31"/>
      <c r="E40" s="31"/>
      <c r="F40" s="31"/>
      <c r="G40" s="31"/>
      <c r="H40" s="31"/>
      <c r="I40" s="32" t="s">
        <v>25</v>
      </c>
      <c r="J40" s="187">
        <f>J39/4</f>
        <v>4.5624999993609805E-2</v>
      </c>
      <c r="K40" s="188"/>
      <c r="L40" s="189"/>
    </row>
    <row r="41" spans="1:12" x14ac:dyDescent="0.2">
      <c r="A41" s="183"/>
      <c r="B41" s="16"/>
      <c r="C41" s="17" t="s">
        <v>20</v>
      </c>
      <c r="D41" s="60">
        <v>0</v>
      </c>
      <c r="E41" s="60">
        <v>200.00098</v>
      </c>
      <c r="F41" s="23">
        <f t="array" ref="F41:F44">IF(D41:D44-D41&lt;0,(D41:D44-D41)+400,D41:D44-D41)</f>
        <v>0</v>
      </c>
      <c r="G41" s="23">
        <f t="array" ref="G41:G44">IF(E41:E44-E41&lt;0,(E41:E44-E41)+400,E41:E44-E41)</f>
        <v>0</v>
      </c>
      <c r="H41" s="23">
        <f t="array" ref="H41:H44">(F41:F44+G41:G44)/2</f>
        <v>0</v>
      </c>
      <c r="I41" s="24"/>
      <c r="J41" s="185">
        <f t="array" ref="J41:J44">(I23:I26-H41:H44)*1000</f>
        <v>0</v>
      </c>
      <c r="K41" s="185">
        <f t="array" ref="K41:K44">J41:J44-J46</f>
        <v>-6.3124999996944098E-2</v>
      </c>
      <c r="L41" s="186">
        <f t="array" ref="L41:L44">(K41:K44)^2</f>
        <v>3.9847656246141923E-3</v>
      </c>
    </row>
    <row r="42" spans="1:12" x14ac:dyDescent="0.2">
      <c r="A42" s="183"/>
      <c r="C42" s="17" t="s">
        <v>21</v>
      </c>
      <c r="D42" s="60">
        <v>14.996420000000001</v>
      </c>
      <c r="E42" s="60">
        <v>214.99781999999999</v>
      </c>
      <c r="F42" s="23">
        <v>14.996420000000001</v>
      </c>
      <c r="G42" s="23">
        <v>14.996839999999992</v>
      </c>
      <c r="H42" s="23">
        <v>14.996629999999996</v>
      </c>
      <c r="I42" s="24"/>
      <c r="J42" s="185">
        <v>3.2500000003210516E-2</v>
      </c>
      <c r="K42" s="185">
        <v>-3.0624999993733582E-2</v>
      </c>
      <c r="L42" s="186">
        <v>9.3789062461618184E-4</v>
      </c>
    </row>
    <row r="43" spans="1:12" x14ac:dyDescent="0.2">
      <c r="A43" s="183"/>
      <c r="B43" s="16">
        <v>4</v>
      </c>
      <c r="C43" s="17" t="s">
        <v>22</v>
      </c>
      <c r="D43" s="60">
        <v>37.001559999999998</v>
      </c>
      <c r="E43" s="60">
        <v>237.0027</v>
      </c>
      <c r="F43" s="23">
        <v>37.001559999999998</v>
      </c>
      <c r="G43" s="23">
        <v>37.001720000000006</v>
      </c>
      <c r="H43" s="23">
        <v>37.001640000000002</v>
      </c>
      <c r="I43" s="24"/>
      <c r="J43" s="185">
        <v>0.19749999999874035</v>
      </c>
      <c r="K43" s="185">
        <v>0.13437500000179625</v>
      </c>
      <c r="L43" s="186">
        <v>1.8056640625482744E-2</v>
      </c>
    </row>
    <row r="44" spans="1:12" x14ac:dyDescent="0.2">
      <c r="A44" s="183"/>
      <c r="B44" s="16"/>
      <c r="C44" s="17" t="s">
        <v>23</v>
      </c>
      <c r="D44" s="60">
        <v>90.000339999999994</v>
      </c>
      <c r="E44" s="60">
        <v>290.00164000000001</v>
      </c>
      <c r="F44" s="23">
        <v>90.000339999999994</v>
      </c>
      <c r="G44" s="23">
        <v>90.000660000000011</v>
      </c>
      <c r="H44" s="23">
        <v>90.000500000000002</v>
      </c>
      <c r="I44" s="24"/>
      <c r="J44" s="185">
        <v>2.2499999985825525E-2</v>
      </c>
      <c r="K44" s="185">
        <v>-4.0625000011118573E-2</v>
      </c>
      <c r="L44" s="186">
        <v>1.6503906259033841E-3</v>
      </c>
    </row>
    <row r="45" spans="1:12" x14ac:dyDescent="0.2">
      <c r="A45" s="183"/>
      <c r="B45" s="16"/>
      <c r="C45" s="18"/>
      <c r="D45" s="18"/>
      <c r="E45" s="18"/>
      <c r="F45" s="18"/>
      <c r="G45" s="18"/>
      <c r="H45" s="34"/>
      <c r="I45" s="35" t="s">
        <v>24</v>
      </c>
      <c r="J45" s="185">
        <f t="array" ref="J45">SUM(J41:J44)</f>
        <v>0.25249999998777639</v>
      </c>
      <c r="K45" s="185">
        <f t="array" ref="K45">SUM(K41:K44)</f>
        <v>0</v>
      </c>
      <c r="L45" s="186">
        <f t="array" ref="L45">SUM(L41:L44)</f>
        <v>2.46296875006165E-2</v>
      </c>
    </row>
    <row r="46" spans="1:12" ht="13.5" thickBot="1" x14ac:dyDescent="0.25">
      <c r="A46" s="183"/>
      <c r="B46" s="181"/>
      <c r="C46" s="21"/>
      <c r="D46" s="21"/>
      <c r="E46" s="21"/>
      <c r="F46" s="21"/>
      <c r="G46" s="21"/>
      <c r="H46" s="21"/>
      <c r="I46" s="36" t="s">
        <v>25</v>
      </c>
      <c r="J46" s="187">
        <f>J45/4</f>
        <v>6.3124999996944098E-2</v>
      </c>
      <c r="K46" s="188"/>
      <c r="L46" s="189"/>
    </row>
    <row r="47" spans="1:12" ht="14.25" x14ac:dyDescent="0.2">
      <c r="A47" s="183"/>
      <c r="B47" s="182"/>
      <c r="C47" s="19"/>
      <c r="D47" s="19"/>
      <c r="E47" s="19"/>
      <c r="F47" s="19"/>
      <c r="G47" s="19"/>
      <c r="H47" s="19"/>
      <c r="I47" s="19"/>
      <c r="J47" s="37" t="s">
        <v>26</v>
      </c>
      <c r="L47" s="25">
        <f>L27+L33+L39+L45</f>
        <v>0.44270624999487312</v>
      </c>
    </row>
    <row r="48" spans="1:12" ht="16.5" x14ac:dyDescent="0.3">
      <c r="A48" s="183"/>
      <c r="B48" s="184" t="s">
        <v>27</v>
      </c>
      <c r="C48" s="117">
        <f>SQRT(L47/9)</f>
        <v>0.22178724790384968</v>
      </c>
      <c r="D48" s="19"/>
      <c r="E48" s="19"/>
      <c r="F48" s="19"/>
      <c r="G48" s="19"/>
      <c r="H48" s="19"/>
      <c r="I48" s="19"/>
      <c r="J48" s="19"/>
      <c r="K48" s="19"/>
      <c r="L48" s="20"/>
    </row>
    <row r="49" spans="1:12" ht="13.5" thickBot="1" x14ac:dyDescent="0.25">
      <c r="A49" s="183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6"/>
    </row>
  </sheetData>
  <sheetProtection sheet="1" objects="1" scenarios="1"/>
  <phoneticPr fontId="3" type="noConversion"/>
  <pageMargins left="0.75" right="0.75" top="1" bottom="1" header="0" footer="0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49"/>
  <sheetViews>
    <sheetView zoomScale="80" zoomScaleNormal="80" workbookViewId="0">
      <selection activeCell="H5" sqref="H5"/>
    </sheetView>
  </sheetViews>
  <sheetFormatPr baseColWidth="10" defaultRowHeight="12.75" x14ac:dyDescent="0.2"/>
  <cols>
    <col min="1" max="1" width="2.85546875" customWidth="1"/>
    <col min="2" max="2" width="6.7109375" customWidth="1"/>
    <col min="3" max="4" width="9.85546875" customWidth="1"/>
    <col min="5" max="5" width="10.7109375" bestFit="1" customWidth="1"/>
    <col min="6" max="6" width="18.5703125" bestFit="1" customWidth="1"/>
    <col min="7" max="7" width="15.7109375" bestFit="1" customWidth="1"/>
  </cols>
  <sheetData>
    <row r="6" spans="2:12" x14ac:dyDescent="0.2">
      <c r="B6" s="86" t="s">
        <v>86</v>
      </c>
      <c r="C6" s="85"/>
      <c r="D6" s="85"/>
    </row>
    <row r="7" spans="2:12" x14ac:dyDescent="0.2">
      <c r="B7" s="48" t="s">
        <v>88</v>
      </c>
    </row>
    <row r="8" spans="2:12" x14ac:dyDescent="0.2">
      <c r="B8" s="48"/>
    </row>
    <row r="9" spans="2:12" x14ac:dyDescent="0.2">
      <c r="B9" s="48" t="s">
        <v>89</v>
      </c>
    </row>
    <row r="10" spans="2:12" x14ac:dyDescent="0.2">
      <c r="B10" s="48"/>
    </row>
    <row r="11" spans="2:12" x14ac:dyDescent="0.2">
      <c r="B11" s="68"/>
      <c r="C11" s="69" t="s">
        <v>36</v>
      </c>
    </row>
    <row r="12" spans="2:12" ht="13.5" thickBot="1" x14ac:dyDescent="0.25"/>
    <row r="13" spans="2:12" x14ac:dyDescent="0.2">
      <c r="B13" s="61" t="s">
        <v>43</v>
      </c>
      <c r="C13" s="62"/>
      <c r="D13" s="63"/>
      <c r="E13" s="62"/>
      <c r="F13" s="62"/>
      <c r="G13" s="62"/>
      <c r="H13" s="62"/>
      <c r="I13" s="62"/>
      <c r="J13" s="62"/>
      <c r="K13" s="1"/>
      <c r="L13" s="2"/>
    </row>
    <row r="14" spans="2:12" x14ac:dyDescent="0.2">
      <c r="B14" s="64" t="s">
        <v>44</v>
      </c>
      <c r="C14" s="51"/>
      <c r="D14" s="51"/>
      <c r="E14" s="51"/>
      <c r="F14" s="51"/>
      <c r="G14" s="51"/>
      <c r="H14" s="51"/>
      <c r="I14" s="51"/>
      <c r="J14" s="51"/>
      <c r="K14" s="3"/>
      <c r="L14" s="4"/>
    </row>
    <row r="15" spans="2:12" x14ac:dyDescent="0.2">
      <c r="B15" s="64" t="s">
        <v>85</v>
      </c>
      <c r="C15" s="51"/>
      <c r="D15" s="51"/>
      <c r="E15" s="51"/>
      <c r="F15" s="51"/>
      <c r="G15" s="51"/>
      <c r="H15" s="51"/>
      <c r="I15" s="51"/>
      <c r="J15" s="51"/>
      <c r="K15" s="3"/>
      <c r="L15" s="4"/>
    </row>
    <row r="16" spans="2:12" x14ac:dyDescent="0.2">
      <c r="B16" s="64" t="str">
        <f>Horiz.1!B16</f>
        <v xml:space="preserve">Instrumento:   </v>
      </c>
      <c r="C16" s="83"/>
      <c r="D16" s="52"/>
      <c r="E16" s="51"/>
      <c r="F16" s="51"/>
      <c r="G16" s="51"/>
      <c r="H16" s="51"/>
      <c r="I16" s="51"/>
      <c r="J16" s="51"/>
      <c r="K16" s="3"/>
      <c r="L16" s="4"/>
    </row>
    <row r="17" spans="1:12" x14ac:dyDescent="0.2">
      <c r="B17" s="53" t="s">
        <v>41</v>
      </c>
      <c r="C17" s="51"/>
      <c r="D17" s="51"/>
      <c r="E17" s="56"/>
      <c r="F17" s="54" t="s">
        <v>42</v>
      </c>
      <c r="G17" s="51"/>
      <c r="H17" s="55"/>
      <c r="I17" s="51"/>
      <c r="J17" s="51"/>
      <c r="K17" s="3"/>
      <c r="L17" s="4"/>
    </row>
    <row r="18" spans="1:12" ht="13.5" thickBot="1" x14ac:dyDescent="0.25">
      <c r="B18" s="64" t="s">
        <v>6</v>
      </c>
      <c r="C18" s="51"/>
      <c r="D18" s="51"/>
      <c r="E18" s="56"/>
      <c r="F18" s="65" t="s">
        <v>7</v>
      </c>
      <c r="G18" s="51"/>
      <c r="H18" s="51"/>
      <c r="I18" s="51"/>
      <c r="J18" s="51"/>
      <c r="K18" s="3"/>
      <c r="L18" s="4"/>
    </row>
    <row r="19" spans="1:12" x14ac:dyDescent="0.2">
      <c r="B19" s="5"/>
      <c r="C19" s="6"/>
      <c r="D19" s="6" t="s">
        <v>50</v>
      </c>
      <c r="E19" s="6" t="s">
        <v>50</v>
      </c>
      <c r="F19" s="6" t="s">
        <v>51</v>
      </c>
      <c r="G19" s="6" t="s">
        <v>52</v>
      </c>
      <c r="H19" s="6" t="s">
        <v>8</v>
      </c>
      <c r="I19" s="6" t="s">
        <v>9</v>
      </c>
      <c r="J19" s="6"/>
      <c r="K19" s="6"/>
      <c r="L19" s="26"/>
    </row>
    <row r="20" spans="1:12" ht="14.25" x14ac:dyDescent="0.2">
      <c r="B20" s="8" t="s">
        <v>10</v>
      </c>
      <c r="C20" s="9" t="s">
        <v>11</v>
      </c>
      <c r="D20" s="9" t="s">
        <v>49</v>
      </c>
      <c r="E20" s="9" t="s">
        <v>48</v>
      </c>
      <c r="F20" s="9" t="s">
        <v>12</v>
      </c>
      <c r="G20" s="9" t="s">
        <v>12</v>
      </c>
      <c r="H20" s="9" t="s">
        <v>13</v>
      </c>
      <c r="I20" s="9" t="s">
        <v>14</v>
      </c>
      <c r="J20" s="9" t="s">
        <v>15</v>
      </c>
      <c r="K20" s="10" t="s">
        <v>16</v>
      </c>
      <c r="L20" s="11" t="s">
        <v>17</v>
      </c>
    </row>
    <row r="21" spans="1:12" ht="13.5" thickBot="1" x14ac:dyDescent="0.25">
      <c r="B21" s="12"/>
      <c r="C21" s="13"/>
      <c r="D21" s="14" t="s">
        <v>18</v>
      </c>
      <c r="E21" s="14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19</v>
      </c>
      <c r="K21" s="14" t="s">
        <v>19</v>
      </c>
      <c r="L21" s="91" t="s">
        <v>53</v>
      </c>
    </row>
    <row r="22" spans="1:12" x14ac:dyDescent="0.2">
      <c r="A22" s="183"/>
      <c r="B22" s="180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6">
        <v>9</v>
      </c>
      <c r="K22" s="6">
        <v>10</v>
      </c>
      <c r="L22" s="7">
        <v>11</v>
      </c>
    </row>
    <row r="23" spans="1:12" x14ac:dyDescent="0.2">
      <c r="A23" s="183"/>
      <c r="B23" s="34"/>
      <c r="C23" s="15" t="s">
        <v>20</v>
      </c>
      <c r="D23" s="57">
        <v>0</v>
      </c>
      <c r="E23" s="57">
        <v>200.00051999999999</v>
      </c>
      <c r="F23" s="23">
        <f t="array" ref="F23:F26">IF(D23:D26-D23&lt;0,(D23:D26-D23)+400,D23:D26-D23)</f>
        <v>0</v>
      </c>
      <c r="G23" s="23">
        <f t="array" ref="G23:G26">IF(E23:E26-E23&lt;0,(E23:E26-E23)+400,E23:E26-E23)</f>
        <v>0</v>
      </c>
      <c r="H23" s="23">
        <f t="array" ref="H23:H26">(F23:F26+G23:G26)/2</f>
        <v>0</v>
      </c>
      <c r="I23" s="23">
        <f t="array" ref="I23:I26">(H23:H26+H29:H32+H35:H38+H41:H44)/4</f>
        <v>0</v>
      </c>
      <c r="J23" s="185">
        <f t="array" ref="J23:J26">(I23:I26-H23:H26)*1000</f>
        <v>0</v>
      </c>
      <c r="K23" s="185">
        <f t="array" ref="K23:K26">J23:J26-J28</f>
        <v>5.0000000004324363E-2</v>
      </c>
      <c r="L23" s="186">
        <f t="array" ref="L23:L26">(K23:K26)^2</f>
        <v>2.5000000004324363E-3</v>
      </c>
    </row>
    <row r="24" spans="1:12" x14ac:dyDescent="0.2">
      <c r="A24" s="183"/>
      <c r="C24" s="27" t="s">
        <v>21</v>
      </c>
      <c r="D24" s="57">
        <v>14.997019999999999</v>
      </c>
      <c r="E24" s="57">
        <v>214.99704</v>
      </c>
      <c r="F24" s="23">
        <v>14.997019999999999</v>
      </c>
      <c r="G24" s="23">
        <v>14.996520000000004</v>
      </c>
      <c r="H24" s="23">
        <v>14.996770000000001</v>
      </c>
      <c r="I24" s="23">
        <v>14.996845</v>
      </c>
      <c r="J24" s="185">
        <v>7.4999999998937028E-2</v>
      </c>
      <c r="K24" s="185">
        <v>0.12500000000326139</v>
      </c>
      <c r="L24" s="186">
        <v>1.5625000000815348E-2</v>
      </c>
    </row>
    <row r="25" spans="1:12" x14ac:dyDescent="0.2">
      <c r="A25" s="183"/>
      <c r="B25" s="16">
        <v>1</v>
      </c>
      <c r="C25" s="15" t="s">
        <v>22</v>
      </c>
      <c r="D25" s="57">
        <v>37.002079999999999</v>
      </c>
      <c r="E25" s="57">
        <v>237.00244000000001</v>
      </c>
      <c r="F25" s="23">
        <v>37.002079999999999</v>
      </c>
      <c r="G25" s="23">
        <v>37.001920000000013</v>
      </c>
      <c r="H25" s="23">
        <v>37.00200000000001</v>
      </c>
      <c r="I25" s="23">
        <v>37.00197</v>
      </c>
      <c r="J25" s="185">
        <v>-3.000000000952241E-2</v>
      </c>
      <c r="K25" s="185">
        <v>1.9999999994801954E-2</v>
      </c>
      <c r="L25" s="186">
        <v>3.9999999979207812E-4</v>
      </c>
    </row>
    <row r="26" spans="1:12" x14ac:dyDescent="0.2">
      <c r="A26" s="183"/>
      <c r="B26" s="16"/>
      <c r="C26" s="16" t="s">
        <v>23</v>
      </c>
      <c r="D26" s="57">
        <v>90.000519999999995</v>
      </c>
      <c r="E26" s="57">
        <v>290.00178</v>
      </c>
      <c r="F26" s="23">
        <v>90.000519999999995</v>
      </c>
      <c r="G26" s="23">
        <v>90.001260000000002</v>
      </c>
      <c r="H26" s="23">
        <v>90.000889999999998</v>
      </c>
      <c r="I26" s="23">
        <v>90.000644999999992</v>
      </c>
      <c r="J26" s="185">
        <v>-0.24500000000671207</v>
      </c>
      <c r="K26" s="185">
        <v>-0.19500000000238771</v>
      </c>
      <c r="L26" s="186">
        <v>3.8025000000931203E-2</v>
      </c>
    </row>
    <row r="27" spans="1:12" x14ac:dyDescent="0.2">
      <c r="A27" s="183"/>
      <c r="B27" s="28"/>
      <c r="C27" s="18"/>
      <c r="D27" s="29"/>
      <c r="E27" s="29"/>
      <c r="F27" s="29"/>
      <c r="G27" s="29"/>
      <c r="H27" s="29"/>
      <c r="I27" s="30" t="s">
        <v>24</v>
      </c>
      <c r="J27" s="185">
        <f t="array" ref="J27">SUM(J23:J26)</f>
        <v>-0.20000000001729745</v>
      </c>
      <c r="K27" s="185">
        <f t="array" ref="K27">SUM(K23:K26)</f>
        <v>0</v>
      </c>
      <c r="L27" s="186">
        <f t="array" ref="L27">SUM(L23:L26)</f>
        <v>5.6550000001971065E-2</v>
      </c>
    </row>
    <row r="28" spans="1:12" ht="13.5" thickBot="1" x14ac:dyDescent="0.25">
      <c r="A28" s="183"/>
      <c r="B28" s="181"/>
      <c r="C28" s="21"/>
      <c r="D28" s="31"/>
      <c r="E28" s="31"/>
      <c r="F28" s="31"/>
      <c r="G28" s="31"/>
      <c r="H28" s="31"/>
      <c r="I28" s="32" t="s">
        <v>25</v>
      </c>
      <c r="J28" s="187">
        <f>J27/4</f>
        <v>-5.0000000004324363E-2</v>
      </c>
      <c r="K28" s="188"/>
      <c r="L28" s="189"/>
    </row>
    <row r="29" spans="1:12" x14ac:dyDescent="0.2">
      <c r="A29" s="183"/>
      <c r="B29" s="182"/>
      <c r="C29" s="9" t="s">
        <v>20</v>
      </c>
      <c r="D29" s="58">
        <v>50.472380000000001</v>
      </c>
      <c r="E29" s="59">
        <v>250.47257999999999</v>
      </c>
      <c r="F29" s="23">
        <f t="array" ref="F29:F32">IF(D29:D32-D29&lt;0,(D29:D32-D29)+400,D29:D32-D29)</f>
        <v>0</v>
      </c>
      <c r="G29" s="23">
        <f t="array" ref="G29:G32">IF(E29:E32-E29&lt;0,(E29:E32-E29)+400,E29:E32-E29)</f>
        <v>0</v>
      </c>
      <c r="H29" s="23">
        <f t="array" ref="H29:H32">(F29:F32+G29:G32)/2</f>
        <v>0</v>
      </c>
      <c r="I29" s="23"/>
      <c r="J29" s="185">
        <f t="array" ref="J29:J32">(I23:I26-H29:H32)*1000</f>
        <v>0</v>
      </c>
      <c r="K29" s="185">
        <f t="array" ref="K29:K32">J29:J32-J34</f>
        <v>0.27749999999926445</v>
      </c>
      <c r="L29" s="186">
        <f t="array" ref="L29:L32">(K29:K32)^2</f>
        <v>7.7006249999591769E-2</v>
      </c>
    </row>
    <row r="30" spans="1:12" x14ac:dyDescent="0.2">
      <c r="A30" s="183"/>
      <c r="C30" s="27" t="s">
        <v>21</v>
      </c>
      <c r="D30" s="57">
        <v>65.469319999999996</v>
      </c>
      <c r="E30" s="57">
        <v>265.47026</v>
      </c>
      <c r="F30" s="23">
        <v>14.996939999999995</v>
      </c>
      <c r="G30" s="23">
        <v>14.997680000000003</v>
      </c>
      <c r="H30" s="23">
        <v>14.997309999999999</v>
      </c>
      <c r="I30" s="23"/>
      <c r="J30" s="185">
        <v>-0.46499999999838337</v>
      </c>
      <c r="K30" s="185">
        <v>-0.18749999999911893</v>
      </c>
      <c r="L30" s="186">
        <v>3.5156249999669598E-2</v>
      </c>
    </row>
    <row r="31" spans="1:12" x14ac:dyDescent="0.2">
      <c r="A31" s="183"/>
      <c r="B31" s="16">
        <v>2</v>
      </c>
      <c r="C31" s="15" t="s">
        <v>22</v>
      </c>
      <c r="D31" s="57">
        <v>87.47466</v>
      </c>
      <c r="E31" s="57">
        <v>287.47483999999997</v>
      </c>
      <c r="F31" s="23">
        <v>37.002279999999999</v>
      </c>
      <c r="G31" s="23">
        <v>37.002259999999978</v>
      </c>
      <c r="H31" s="23">
        <v>37.002269999999989</v>
      </c>
      <c r="I31" s="23"/>
      <c r="J31" s="185">
        <v>-0.29999999998864268</v>
      </c>
      <c r="K31" s="185">
        <v>-2.2499999989378239E-2</v>
      </c>
      <c r="L31" s="186">
        <v>5.0624999952202077E-4</v>
      </c>
    </row>
    <row r="32" spans="1:12" x14ac:dyDescent="0.2">
      <c r="A32" s="183"/>
      <c r="B32" s="16"/>
      <c r="C32" s="15" t="s">
        <v>23</v>
      </c>
      <c r="D32" s="57">
        <v>140.47252</v>
      </c>
      <c r="E32" s="57">
        <v>340.47442000000001</v>
      </c>
      <c r="F32" s="23">
        <v>90.000140000000002</v>
      </c>
      <c r="G32" s="23">
        <v>90.001840000000016</v>
      </c>
      <c r="H32" s="23">
        <v>90.000990000000002</v>
      </c>
      <c r="I32" s="23"/>
      <c r="J32" s="185">
        <v>-0.34500000001003173</v>
      </c>
      <c r="K32" s="185">
        <v>-6.750000001076728E-2</v>
      </c>
      <c r="L32" s="186">
        <v>4.5562500014535825E-3</v>
      </c>
    </row>
    <row r="33" spans="1:12" x14ac:dyDescent="0.2">
      <c r="A33" s="183"/>
      <c r="B33" s="16"/>
      <c r="C33" s="18"/>
      <c r="D33" s="29"/>
      <c r="E33" s="29"/>
      <c r="F33" s="29"/>
      <c r="G33" s="29"/>
      <c r="H33" s="33"/>
      <c r="I33" s="30" t="s">
        <v>24</v>
      </c>
      <c r="J33" s="185">
        <f t="array" ref="J33">SUM(J29:J32)</f>
        <v>-1.1099999999970578</v>
      </c>
      <c r="K33" s="185">
        <f t="array" ref="K33">SUM(K29:K32)</f>
        <v>0</v>
      </c>
      <c r="L33" s="186">
        <f t="array" ref="L33">SUM(L29:L32)</f>
        <v>0.11722500000023697</v>
      </c>
    </row>
    <row r="34" spans="1:12" ht="13.5" thickBot="1" x14ac:dyDescent="0.25">
      <c r="A34" s="183"/>
      <c r="B34" s="181"/>
      <c r="C34" s="21"/>
      <c r="D34" s="31"/>
      <c r="E34" s="31"/>
      <c r="F34" s="31"/>
      <c r="G34" s="31"/>
      <c r="H34" s="31"/>
      <c r="I34" s="32" t="s">
        <v>25</v>
      </c>
      <c r="J34" s="187">
        <f>J33/4</f>
        <v>-0.27749999999926445</v>
      </c>
      <c r="K34" s="188"/>
      <c r="L34" s="189"/>
    </row>
    <row r="35" spans="1:12" x14ac:dyDescent="0.2">
      <c r="A35" s="183"/>
      <c r="B35" s="16"/>
      <c r="C35" s="17" t="s">
        <v>20</v>
      </c>
      <c r="D35" s="60">
        <v>0</v>
      </c>
      <c r="E35" s="60">
        <v>199.99997999999999</v>
      </c>
      <c r="F35" s="23">
        <f t="array" ref="F35:F38">IF(D35:D38-D35&lt;0,(D35:D38-D35)+400,D35:D38-D35)</f>
        <v>0</v>
      </c>
      <c r="G35" s="23">
        <f t="array" ref="G35:G38">IF(E35:E38-E35&lt;0,(E35:E38-E35)+400,E35:E38-E35)</f>
        <v>0</v>
      </c>
      <c r="H35" s="23">
        <f t="array" ref="H35:H38">(F35:F38+G35:G38)/2</f>
        <v>0</v>
      </c>
      <c r="I35" s="24"/>
      <c r="J35" s="185">
        <f t="array" ref="J35:J38">(I23:I26-H35:H38)*1000</f>
        <v>0</v>
      </c>
      <c r="K35" s="185">
        <f t="array" ref="K35:K38">J35:J38-J40</f>
        <v>-0.15499999999457614</v>
      </c>
      <c r="L35" s="186">
        <f t="array" ref="L35:L38">(K35:K38)^2</f>
        <v>2.4024999998318603E-2</v>
      </c>
    </row>
    <row r="36" spans="1:12" x14ac:dyDescent="0.2">
      <c r="A36" s="183"/>
      <c r="C36" s="17" t="s">
        <v>21</v>
      </c>
      <c r="D36" s="60">
        <v>14.99634</v>
      </c>
      <c r="E36" s="60">
        <v>214.99698000000001</v>
      </c>
      <c r="F36" s="23">
        <v>14.99634</v>
      </c>
      <c r="G36" s="23">
        <v>14.997000000000014</v>
      </c>
      <c r="H36" s="23">
        <v>14.996670000000007</v>
      </c>
      <c r="I36" s="24"/>
      <c r="J36" s="185">
        <v>0.1749999999933749</v>
      </c>
      <c r="K36" s="185">
        <v>1.9999999998798756E-2</v>
      </c>
      <c r="L36" s="186">
        <v>3.9999999995195024E-4</v>
      </c>
    </row>
    <row r="37" spans="1:12" x14ac:dyDescent="0.2">
      <c r="A37" s="183"/>
      <c r="B37" s="16">
        <v>3</v>
      </c>
      <c r="C37" s="17" t="s">
        <v>22</v>
      </c>
      <c r="D37" s="60">
        <v>37.001620000000003</v>
      </c>
      <c r="E37" s="60">
        <v>237.00229999999999</v>
      </c>
      <c r="F37" s="23">
        <v>37.001620000000003</v>
      </c>
      <c r="G37" s="23">
        <v>37.002319999999997</v>
      </c>
      <c r="H37" s="23">
        <v>37.00197</v>
      </c>
      <c r="I37" s="24"/>
      <c r="J37" s="185">
        <v>0</v>
      </c>
      <c r="K37" s="185">
        <v>-0.15499999999457614</v>
      </c>
      <c r="L37" s="186">
        <v>2.4024999998318603E-2</v>
      </c>
    </row>
    <row r="38" spans="1:12" x14ac:dyDescent="0.2">
      <c r="A38" s="183"/>
      <c r="B38" s="16"/>
      <c r="C38" s="17" t="s">
        <v>23</v>
      </c>
      <c r="D38" s="60">
        <v>89.999859999999998</v>
      </c>
      <c r="E38" s="60">
        <v>290.00051999999999</v>
      </c>
      <c r="F38" s="23">
        <v>89.999859999999998</v>
      </c>
      <c r="G38" s="23">
        <v>90.000540000000001</v>
      </c>
      <c r="H38" s="23">
        <v>90.000200000000007</v>
      </c>
      <c r="I38" s="24"/>
      <c r="J38" s="185">
        <v>0.44499999998492967</v>
      </c>
      <c r="K38" s="185">
        <v>0.28999999999035353</v>
      </c>
      <c r="L38" s="186">
        <v>8.4099999994405053E-2</v>
      </c>
    </row>
    <row r="39" spans="1:12" x14ac:dyDescent="0.2">
      <c r="A39" s="183"/>
      <c r="B39" s="16"/>
      <c r="C39" s="18"/>
      <c r="D39" s="29"/>
      <c r="E39" s="29"/>
      <c r="F39" s="29"/>
      <c r="G39" s="29"/>
      <c r="H39" s="33"/>
      <c r="I39" s="30" t="s">
        <v>24</v>
      </c>
      <c r="J39" s="185">
        <f t="array" ref="J39">SUM(J35:J38)</f>
        <v>0.61999999997830457</v>
      </c>
      <c r="K39" s="185">
        <f t="array" ref="K39">SUM(K35:K38)</f>
        <v>0</v>
      </c>
      <c r="L39" s="186">
        <f t="array" ref="L39">SUM(L35:L38)</f>
        <v>0.13254999999099421</v>
      </c>
    </row>
    <row r="40" spans="1:12" ht="13.5" thickBot="1" x14ac:dyDescent="0.25">
      <c r="A40" s="183"/>
      <c r="B40" s="181"/>
      <c r="C40" s="21"/>
      <c r="D40" s="31"/>
      <c r="E40" s="31"/>
      <c r="F40" s="31"/>
      <c r="G40" s="31"/>
      <c r="H40" s="31"/>
      <c r="I40" s="32" t="s">
        <v>25</v>
      </c>
      <c r="J40" s="187">
        <f>J39/4</f>
        <v>0.15499999999457614</v>
      </c>
      <c r="K40" s="188"/>
      <c r="L40" s="189"/>
    </row>
    <row r="41" spans="1:12" x14ac:dyDescent="0.2">
      <c r="A41" s="183"/>
      <c r="B41" s="16"/>
      <c r="C41" s="17" t="s">
        <v>20</v>
      </c>
      <c r="D41" s="60">
        <v>0</v>
      </c>
      <c r="E41" s="60">
        <v>200.00098</v>
      </c>
      <c r="F41" s="23">
        <f t="array" ref="F41:F44">IF(D41:D44-D41&lt;0,(D41:D44-D41)+400,D41:D44-D41)</f>
        <v>0</v>
      </c>
      <c r="G41" s="23">
        <f t="array" ref="G41:G44">IF(E41:E44-E41&lt;0,(E41:E44-E41)+400,E41:E44-E41)</f>
        <v>0</v>
      </c>
      <c r="H41" s="23">
        <f t="array" ref="H41:H44">(F41:F44+G41:G44)/2</f>
        <v>0</v>
      </c>
      <c r="I41" s="24"/>
      <c r="J41" s="185">
        <f t="array" ref="J41:J44">(I23:I26-H41:H44)*1000</f>
        <v>0</v>
      </c>
      <c r="K41" s="185">
        <f t="array" ref="K41:K44">J41:J44-J46</f>
        <v>-0.17249999999791044</v>
      </c>
      <c r="L41" s="186">
        <f t="array" ref="L41:L44">(K41:K44)^2</f>
        <v>2.9756249999279099E-2</v>
      </c>
    </row>
    <row r="42" spans="1:12" x14ac:dyDescent="0.2">
      <c r="A42" s="183"/>
      <c r="C42" s="17" t="s">
        <v>21</v>
      </c>
      <c r="D42" s="60">
        <v>14.996420000000001</v>
      </c>
      <c r="E42" s="60">
        <v>214.99781999999999</v>
      </c>
      <c r="F42" s="23">
        <v>14.996420000000001</v>
      </c>
      <c r="G42" s="23">
        <v>14.996839999999992</v>
      </c>
      <c r="H42" s="23">
        <v>14.996629999999996</v>
      </c>
      <c r="I42" s="24"/>
      <c r="J42" s="185">
        <v>0.21500000000429509</v>
      </c>
      <c r="K42" s="185">
        <v>4.2500000006384653E-2</v>
      </c>
      <c r="L42" s="186">
        <v>1.8062500005426956E-3</v>
      </c>
    </row>
    <row r="43" spans="1:12" x14ac:dyDescent="0.2">
      <c r="A43" s="183"/>
      <c r="B43" s="16">
        <v>4</v>
      </c>
      <c r="C43" s="17" t="s">
        <v>22</v>
      </c>
      <c r="D43" s="60">
        <v>37.001559999999998</v>
      </c>
      <c r="E43" s="60">
        <v>237.0027</v>
      </c>
      <c r="F43" s="23">
        <v>37.001559999999998</v>
      </c>
      <c r="G43" s="23">
        <v>37.001720000000006</v>
      </c>
      <c r="H43" s="23">
        <v>37.001640000000002</v>
      </c>
      <c r="I43" s="24"/>
      <c r="J43" s="185">
        <v>0.32999999999816509</v>
      </c>
      <c r="K43" s="185">
        <v>0.15750000000025466</v>
      </c>
      <c r="L43" s="186">
        <v>2.4806250000080219E-2</v>
      </c>
    </row>
    <row r="44" spans="1:12" x14ac:dyDescent="0.2">
      <c r="A44" s="183"/>
      <c r="B44" s="16"/>
      <c r="C44" s="17" t="s">
        <v>23</v>
      </c>
      <c r="D44" s="60">
        <v>90.000339999999994</v>
      </c>
      <c r="E44" s="60">
        <v>290.00164000000001</v>
      </c>
      <c r="F44" s="23">
        <v>90.000339999999994</v>
      </c>
      <c r="G44" s="23">
        <v>90.000660000000011</v>
      </c>
      <c r="H44" s="23">
        <v>90.000500000000002</v>
      </c>
      <c r="I44" s="24"/>
      <c r="J44" s="185">
        <v>0.14499999998918156</v>
      </c>
      <c r="K44" s="185">
        <v>-2.7500000008728875E-2</v>
      </c>
      <c r="L44" s="186">
        <v>7.5625000048008817E-4</v>
      </c>
    </row>
    <row r="45" spans="1:12" x14ac:dyDescent="0.2">
      <c r="A45" s="183"/>
      <c r="B45" s="16"/>
      <c r="C45" s="18"/>
      <c r="D45" s="18"/>
      <c r="E45" s="18"/>
      <c r="F45" s="18"/>
      <c r="G45" s="18"/>
      <c r="H45" s="34"/>
      <c r="I45" s="35" t="s">
        <v>24</v>
      </c>
      <c r="J45" s="185">
        <f t="array" ref="J45">SUM(J41:J44)</f>
        <v>0.68999999999164174</v>
      </c>
      <c r="K45" s="185">
        <f t="array" ref="K45">SUM(K41:K44)</f>
        <v>0</v>
      </c>
      <c r="L45" s="186">
        <f t="array" ref="L45">SUM(L41:L44)</f>
        <v>5.7125000000382106E-2</v>
      </c>
    </row>
    <row r="46" spans="1:12" ht="13.5" thickBot="1" x14ac:dyDescent="0.25">
      <c r="A46" s="183"/>
      <c r="B46" s="181"/>
      <c r="C46" s="21"/>
      <c r="D46" s="21"/>
      <c r="E46" s="21"/>
      <c r="F46" s="21"/>
      <c r="G46" s="21"/>
      <c r="H46" s="21"/>
      <c r="I46" s="36" t="s">
        <v>25</v>
      </c>
      <c r="J46" s="187">
        <f>J45/4</f>
        <v>0.17249999999791044</v>
      </c>
      <c r="K46" s="188"/>
      <c r="L46" s="189"/>
    </row>
    <row r="47" spans="1:12" ht="14.25" x14ac:dyDescent="0.2">
      <c r="A47" s="183"/>
      <c r="B47" s="182"/>
      <c r="C47" s="19"/>
      <c r="D47" s="19"/>
      <c r="E47" s="19"/>
      <c r="F47" s="19"/>
      <c r="G47" s="19"/>
      <c r="H47" s="19"/>
      <c r="I47" s="19"/>
      <c r="J47" s="37" t="s">
        <v>26</v>
      </c>
      <c r="L47" s="25">
        <f>L27+L33+L39+L45</f>
        <v>0.36344999999358435</v>
      </c>
    </row>
    <row r="48" spans="1:12" ht="16.5" x14ac:dyDescent="0.3">
      <c r="A48" s="183"/>
      <c r="B48" s="184" t="s">
        <v>27</v>
      </c>
      <c r="C48" s="117">
        <f>SQRT(L47/9)</f>
        <v>0.20095604826085847</v>
      </c>
      <c r="D48" s="19"/>
      <c r="E48" s="19"/>
      <c r="F48" s="19"/>
      <c r="G48" s="19"/>
      <c r="H48" s="19"/>
      <c r="I48" s="19"/>
      <c r="J48" s="19"/>
      <c r="K48" s="19"/>
      <c r="L48" s="20"/>
    </row>
    <row r="49" spans="1:12" ht="13.5" thickBot="1" x14ac:dyDescent="0.25">
      <c r="A49" s="183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6"/>
    </row>
  </sheetData>
  <sheetProtection sheet="1" objects="1" scenarios="1"/>
  <pageMargins left="0.75" right="0.75" top="1" bottom="1" header="0" footer="0"/>
  <pageSetup paperSize="9" scale="6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8"/>
  <sheetViews>
    <sheetView zoomScale="80" zoomScaleNormal="80" workbookViewId="0">
      <selection activeCell="F22" sqref="F22"/>
    </sheetView>
  </sheetViews>
  <sheetFormatPr baseColWidth="10" defaultRowHeight="12.75" x14ac:dyDescent="0.2"/>
  <cols>
    <col min="1" max="1" width="2.85546875" style="40" customWidth="1"/>
    <col min="3" max="3" width="9.85546875" bestFit="1" customWidth="1"/>
    <col min="4" max="4" width="14.85546875" bestFit="1" customWidth="1"/>
    <col min="7" max="7" width="7.140625" customWidth="1"/>
    <col min="8" max="8" width="16.42578125" customWidth="1"/>
    <col min="17" max="17" width="12.42578125" bestFit="1" customWidth="1"/>
    <col min="21" max="21" width="11.140625" customWidth="1"/>
    <col min="23" max="23" width="15.85546875" customWidth="1"/>
    <col min="24" max="24" width="12.28515625" bestFit="1" customWidth="1"/>
    <col min="26" max="26" width="12.28515625" bestFit="1" customWidth="1"/>
    <col min="34" max="16384" width="11.42578125" style="40"/>
  </cols>
  <sheetData>
    <row r="1" spans="2:13" customFormat="1" x14ac:dyDescent="0.2"/>
    <row r="2" spans="2:13" customFormat="1" x14ac:dyDescent="0.2"/>
    <row r="3" spans="2:13" customFormat="1" x14ac:dyDescent="0.2"/>
    <row r="4" spans="2:13" customFormat="1" x14ac:dyDescent="0.2"/>
    <row r="6" spans="2:13" x14ac:dyDescent="0.2">
      <c r="B6" s="86" t="s">
        <v>86</v>
      </c>
      <c r="C6" s="85"/>
      <c r="D6" s="85"/>
    </row>
    <row r="7" spans="2:13" x14ac:dyDescent="0.2">
      <c r="B7" s="48" t="s">
        <v>88</v>
      </c>
      <c r="C7" s="85"/>
      <c r="D7" s="85"/>
    </row>
    <row r="8" spans="2:13" x14ac:dyDescent="0.2">
      <c r="B8" s="48"/>
      <c r="C8" s="48"/>
      <c r="D8" s="48"/>
    </row>
    <row r="9" spans="2:13" x14ac:dyDescent="0.2">
      <c r="B9" s="48" t="s">
        <v>91</v>
      </c>
    </row>
    <row r="10" spans="2:13" x14ac:dyDescent="0.2">
      <c r="B10" s="48"/>
    </row>
    <row r="11" spans="2:13" x14ac:dyDescent="0.2">
      <c r="B11" s="68"/>
      <c r="C11" s="69" t="s">
        <v>36</v>
      </c>
    </row>
    <row r="12" spans="2:13" x14ac:dyDescent="0.2">
      <c r="B12" s="70"/>
      <c r="C12" s="69" t="s">
        <v>105</v>
      </c>
      <c r="D12" s="45"/>
    </row>
    <row r="13" spans="2:13" x14ac:dyDescent="0.2">
      <c r="B13" s="48"/>
    </row>
    <row r="14" spans="2:13" ht="14.25" x14ac:dyDescent="0.2">
      <c r="B14" s="50"/>
      <c r="H14" s="19" t="s">
        <v>72</v>
      </c>
      <c r="I14" s="102" t="s">
        <v>55</v>
      </c>
    </row>
    <row r="15" spans="2:13" x14ac:dyDescent="0.2">
      <c r="B15" s="49"/>
      <c r="C15" s="88" t="s">
        <v>56</v>
      </c>
      <c r="D15" s="88" t="s">
        <v>57</v>
      </c>
      <c r="E15" s="88" t="s">
        <v>58</v>
      </c>
      <c r="F15" s="88" t="s">
        <v>59</v>
      </c>
      <c r="G15" s="92"/>
      <c r="H15" s="87" t="s">
        <v>29</v>
      </c>
      <c r="I15" s="105" t="s">
        <v>100</v>
      </c>
      <c r="J15" s="105" t="s">
        <v>101</v>
      </c>
      <c r="K15" s="107" t="s">
        <v>54</v>
      </c>
    </row>
    <row r="16" spans="2:13" ht="13.5" thickBot="1" x14ac:dyDescent="0.25">
      <c r="B16" s="50"/>
      <c r="C16" s="88">
        <v>1</v>
      </c>
      <c r="D16" s="88">
        <v>2</v>
      </c>
      <c r="E16" s="88">
        <v>3</v>
      </c>
      <c r="F16" s="88">
        <v>4</v>
      </c>
      <c r="G16" s="90"/>
      <c r="H16" s="88">
        <v>5</v>
      </c>
      <c r="I16" s="88">
        <v>6</v>
      </c>
      <c r="J16" s="88">
        <v>7</v>
      </c>
      <c r="K16" s="88">
        <v>8</v>
      </c>
      <c r="L16" s="90"/>
      <c r="M16" s="88">
        <v>13</v>
      </c>
    </row>
    <row r="17" spans="2:26" ht="16.5" thickTop="1" x14ac:dyDescent="0.2">
      <c r="B17" s="50"/>
      <c r="C17" s="190">
        <v>2.7033359999999997</v>
      </c>
      <c r="D17" s="177">
        <v>90.542500000000004</v>
      </c>
      <c r="E17" s="103">
        <v>1.2250000000000001</v>
      </c>
      <c r="F17" s="104">
        <v>9.8170000000000002</v>
      </c>
      <c r="G17" s="90"/>
      <c r="H17" s="123">
        <f>(C17-$E$17)^2+$F$17^2</f>
        <v>98.558966328896005</v>
      </c>
      <c r="I17" s="124">
        <f>200/PI()*$F$17/H17</f>
        <v>6.3410733067928184</v>
      </c>
      <c r="J17" s="125">
        <f>200/PI()*(C17-$E$17)/H17</f>
        <v>0.95489833432523841</v>
      </c>
      <c r="K17" s="126">
        <f t="shared" ref="K17:K23" si="0">C17*SIN(2*D32)/(2*$F$17)</f>
        <v>4.0309627153302691E-2</v>
      </c>
      <c r="L17" s="167" t="s">
        <v>64</v>
      </c>
      <c r="M17" s="135">
        <f t="array" ref="M17:X19">TRANSPOSE(I17:K28)</f>
        <v>6.3410733067928184</v>
      </c>
      <c r="N17" s="136">
        <v>6.4435833935680602</v>
      </c>
      <c r="O17" s="136">
        <v>6.4794623641792466</v>
      </c>
      <c r="P17" s="136">
        <v>6.478168112751864</v>
      </c>
      <c r="Q17" s="136">
        <v>6.4497102713503285</v>
      </c>
      <c r="R17" s="136">
        <v>6.415002027513923</v>
      </c>
      <c r="S17" s="136">
        <v>-6.3410733067928184</v>
      </c>
      <c r="T17" s="136">
        <v>-6.4435833935680602</v>
      </c>
      <c r="U17" s="136">
        <v>-6.4794623641792466</v>
      </c>
      <c r="V17" s="136">
        <v>-6.478168112751864</v>
      </c>
      <c r="W17" s="136">
        <v>-6.4497102713503285</v>
      </c>
      <c r="X17" s="137">
        <v>-6.415002027513923</v>
      </c>
    </row>
    <row r="18" spans="2:26" x14ac:dyDescent="0.2">
      <c r="B18" s="50"/>
      <c r="C18" s="191">
        <v>2.0108220000000001</v>
      </c>
      <c r="D18" s="178">
        <v>94.974379999999996</v>
      </c>
      <c r="E18" s="94"/>
      <c r="F18" s="95"/>
      <c r="G18" s="90"/>
      <c r="H18" s="123">
        <f t="shared" ref="H18:H21" si="1">(C18-$E$17)^2+$F$17^2</f>
        <v>96.991005215684012</v>
      </c>
      <c r="I18" s="127">
        <f t="shared" ref="I18:I22" si="2">200/PI()*$F$17/H18</f>
        <v>6.4435833935680602</v>
      </c>
      <c r="J18" s="128">
        <f t="shared" ref="J18:J22" si="3">200/PI()*(C18-$E$17)/H18</f>
        <v>0.51578991438325761</v>
      </c>
      <c r="K18" s="129">
        <f t="shared" si="0"/>
        <v>1.6102694218384336E-2</v>
      </c>
      <c r="M18" s="138">
        <v>0.95489833432523841</v>
      </c>
      <c r="N18" s="128">
        <v>0.51578991438325761</v>
      </c>
      <c r="O18" s="128">
        <v>0.1872008222435638</v>
      </c>
      <c r="P18" s="128">
        <v>-0.20837832473997478</v>
      </c>
      <c r="Q18" s="128">
        <v>-0.47620963081319445</v>
      </c>
      <c r="R18" s="128">
        <v>-0.66948390926318369</v>
      </c>
      <c r="S18" s="128">
        <v>-0.95489833432523841</v>
      </c>
      <c r="T18" s="128">
        <v>-0.51578991438325761</v>
      </c>
      <c r="U18" s="128">
        <v>-0.1872008222435638</v>
      </c>
      <c r="V18" s="128">
        <v>0.20837832473997478</v>
      </c>
      <c r="W18" s="128">
        <v>0.47620963081319445</v>
      </c>
      <c r="X18" s="139">
        <v>0.66948390926318369</v>
      </c>
    </row>
    <row r="19" spans="2:26" ht="13.5" thickBot="1" x14ac:dyDescent="0.25">
      <c r="C19" s="192">
        <v>1.5086269999999999</v>
      </c>
      <c r="D19" s="178">
        <v>98.221699999999998</v>
      </c>
      <c r="E19" s="94"/>
      <c r="F19" s="95"/>
      <c r="G19" s="90"/>
      <c r="H19" s="123">
        <f t="shared" si="1"/>
        <v>96.453933275129003</v>
      </c>
      <c r="I19" s="127">
        <f t="shared" si="2"/>
        <v>6.4794623641792466</v>
      </c>
      <c r="J19" s="128">
        <f t="shared" si="3"/>
        <v>0.1872008222435638</v>
      </c>
      <c r="K19" s="129">
        <f t="shared" si="0"/>
        <v>4.2904421762085402E-3</v>
      </c>
      <c r="M19" s="140">
        <v>4.0309627153302691E-2</v>
      </c>
      <c r="N19" s="141">
        <v>1.6102694218384336E-2</v>
      </c>
      <c r="O19" s="141">
        <v>4.2904421762085402E-3</v>
      </c>
      <c r="P19" s="141">
        <v>-3.0648288718457457E-3</v>
      </c>
      <c r="Q19" s="141">
        <v>-3.7896712002680319E-3</v>
      </c>
      <c r="R19" s="141">
        <v>-2.1272045932917323E-3</v>
      </c>
      <c r="S19" s="141">
        <v>-4.0296226230431324E-2</v>
      </c>
      <c r="T19" s="141">
        <v>-1.6095258934895995E-2</v>
      </c>
      <c r="U19" s="141">
        <v>-4.2808979315563638E-3</v>
      </c>
      <c r="V19" s="141">
        <v>3.070112819268311E-3</v>
      </c>
      <c r="W19" s="141">
        <v>3.7924094364276914E-3</v>
      </c>
      <c r="X19" s="142">
        <v>2.1282838421950528E-3</v>
      </c>
    </row>
    <row r="20" spans="2:26" ht="13.5" thickTop="1" x14ac:dyDescent="0.2">
      <c r="C20" s="192">
        <v>0.90922400000000003</v>
      </c>
      <c r="D20" s="178">
        <v>102.1082</v>
      </c>
      <c r="E20" s="94"/>
      <c r="F20" s="95"/>
      <c r="G20" s="90"/>
      <c r="H20" s="123">
        <f t="shared" si="1"/>
        <v>96.473203482176004</v>
      </c>
      <c r="I20" s="127">
        <f t="shared" si="2"/>
        <v>6.478168112751864</v>
      </c>
      <c r="J20" s="128">
        <f t="shared" si="3"/>
        <v>-0.20837832473997478</v>
      </c>
      <c r="K20" s="129">
        <f t="shared" si="0"/>
        <v>-3.0648288718457457E-3</v>
      </c>
      <c r="R20" s="87"/>
      <c r="S20" s="87"/>
    </row>
    <row r="21" spans="2:26" x14ac:dyDescent="0.2">
      <c r="B21" s="42"/>
      <c r="C21" s="192">
        <v>0.50016899999999997</v>
      </c>
      <c r="D21" s="178">
        <v>104.7529</v>
      </c>
      <c r="E21" s="94"/>
      <c r="F21" s="95"/>
      <c r="G21" s="90"/>
      <c r="H21" s="123">
        <f t="shared" si="1"/>
        <v>96.898868978561012</v>
      </c>
      <c r="I21" s="127">
        <f t="shared" si="2"/>
        <v>6.4497102713503285</v>
      </c>
      <c r="J21" s="128">
        <f t="shared" si="3"/>
        <v>-0.47620963081319445</v>
      </c>
      <c r="K21" s="129">
        <f t="shared" si="0"/>
        <v>-3.7896712002680319E-3</v>
      </c>
      <c r="Q21" s="87"/>
      <c r="R21" s="87"/>
      <c r="S21" s="87"/>
      <c r="T21" s="87"/>
    </row>
    <row r="22" spans="2:26" ht="13.5" thickBot="1" x14ac:dyDescent="0.25">
      <c r="C22" s="193">
        <v>0.20047599999999999</v>
      </c>
      <c r="D22" s="179">
        <v>106.68034</v>
      </c>
      <c r="E22" s="94"/>
      <c r="F22" s="95"/>
      <c r="G22" s="90"/>
      <c r="H22" s="123">
        <f>(C22-$E$17)^2+$F$17^2</f>
        <v>97.423138426576003</v>
      </c>
      <c r="I22" s="130">
        <f t="shared" si="2"/>
        <v>6.415002027513923</v>
      </c>
      <c r="J22" s="131">
        <f t="shared" si="3"/>
        <v>-0.66948390926318369</v>
      </c>
      <c r="K22" s="129">
        <f t="shared" si="0"/>
        <v>-2.1272045932917323E-3</v>
      </c>
      <c r="M22" s="88">
        <v>14</v>
      </c>
    </row>
    <row r="23" spans="2:26" ht="17.25" thickTop="1" thickBot="1" x14ac:dyDescent="0.25">
      <c r="C23" s="96">
        <f>C17</f>
        <v>2.7033359999999997</v>
      </c>
      <c r="D23" s="177">
        <v>309.45425999999998</v>
      </c>
      <c r="E23" s="94"/>
      <c r="F23" s="95"/>
      <c r="G23" s="90"/>
      <c r="H23" s="123">
        <f t="shared" ref="H23:H28" si="4">(C23-$E$17)^2+$F$17^2</f>
        <v>98.558966328896005</v>
      </c>
      <c r="I23" s="127">
        <f>-200/PI()*$F$17/H23</f>
        <v>-6.3410733067928184</v>
      </c>
      <c r="J23" s="128">
        <f>-200/PI()*(C23-$E$17)/H23</f>
        <v>-0.95489833432523841</v>
      </c>
      <c r="K23" s="129">
        <f t="shared" si="0"/>
        <v>-4.0296226230431324E-2</v>
      </c>
      <c r="L23" s="167" t="s">
        <v>63</v>
      </c>
      <c r="M23" s="143">
        <f t="array" ref="M23:X23">TRANSPOSE(H32:H43)</f>
        <v>5.7821086037236083E-2</v>
      </c>
      <c r="N23" s="144">
        <v>5.9491679891932485E-2</v>
      </c>
      <c r="O23" s="144">
        <v>6.0472965008962869E-2</v>
      </c>
      <c r="P23" s="144">
        <v>6.1139233325114457E-2</v>
      </c>
      <c r="Q23" s="144">
        <v>6.0978212412229053E-2</v>
      </c>
      <c r="R23" s="144">
        <v>6.0398401249319826E-2</v>
      </c>
      <c r="S23" s="144">
        <v>-6.1061086037282428E-2</v>
      </c>
      <c r="T23" s="144">
        <v>-6.1831679891925902E-2</v>
      </c>
      <c r="U23" s="144">
        <v>-6.4432965008972387E-2</v>
      </c>
      <c r="V23" s="144">
        <v>-6.4779233325116786E-2</v>
      </c>
      <c r="W23" s="144">
        <v>-6.4438212412198187E-2</v>
      </c>
      <c r="X23" s="145">
        <v>-6.3838401249337096E-2</v>
      </c>
    </row>
    <row r="24" spans="2:26" ht="13.5" thickTop="1" x14ac:dyDescent="0.2">
      <c r="C24" s="97">
        <f t="shared" ref="C24:C28" si="5">C18</f>
        <v>2.0108220000000001</v>
      </c>
      <c r="D24" s="178">
        <v>305.02328</v>
      </c>
      <c r="E24" s="94"/>
      <c r="F24" s="95"/>
      <c r="G24" s="90"/>
      <c r="H24" s="123">
        <f t="shared" si="4"/>
        <v>96.991005215684012</v>
      </c>
      <c r="I24" s="127">
        <f t="shared" ref="I24:I28" si="6">-200/PI()*$F$17/H24</f>
        <v>-6.4435833935680602</v>
      </c>
      <c r="J24" s="128">
        <f t="shared" ref="J24:J28" si="7">-200/PI()*(C24-$E$17)/H24</f>
        <v>-0.51578991438325761</v>
      </c>
      <c r="K24" s="129">
        <f t="shared" ref="K24:K28" si="8">C24*SIN(2*D39)/(2*$F$17)</f>
        <v>-1.6095258934895995E-2</v>
      </c>
      <c r="Q24" s="40"/>
    </row>
    <row r="25" spans="2:26" x14ac:dyDescent="0.2">
      <c r="C25" s="97">
        <f t="shared" si="5"/>
        <v>1.5086269999999999</v>
      </c>
      <c r="D25" s="178">
        <v>301.77434</v>
      </c>
      <c r="E25" s="94"/>
      <c r="F25" s="95"/>
      <c r="G25" s="90"/>
      <c r="H25" s="123">
        <f t="shared" si="4"/>
        <v>96.453933275129003</v>
      </c>
      <c r="I25" s="127">
        <f t="shared" si="6"/>
        <v>-6.4794623641792466</v>
      </c>
      <c r="J25" s="128">
        <f t="shared" si="7"/>
        <v>-0.1872008222435638</v>
      </c>
      <c r="K25" s="129">
        <f t="shared" si="8"/>
        <v>-4.2808979315563638E-3</v>
      </c>
      <c r="Q25" s="87"/>
      <c r="R25" s="90"/>
    </row>
    <row r="26" spans="2:26" ht="13.5" thickBot="1" x14ac:dyDescent="0.25">
      <c r="C26" s="97">
        <f t="shared" si="5"/>
        <v>0.90922400000000003</v>
      </c>
      <c r="D26" s="178">
        <v>297.88816000000003</v>
      </c>
      <c r="E26" s="94"/>
      <c r="F26" s="95"/>
      <c r="G26" s="90"/>
      <c r="H26" s="123">
        <f t="shared" si="4"/>
        <v>96.473203482176004</v>
      </c>
      <c r="I26" s="127">
        <f t="shared" si="6"/>
        <v>-6.478168112751864</v>
      </c>
      <c r="J26" s="128">
        <f t="shared" si="7"/>
        <v>0.20837832473997478</v>
      </c>
      <c r="K26" s="129">
        <f t="shared" si="8"/>
        <v>3.070112819268311E-3</v>
      </c>
      <c r="N26" s="88">
        <v>17</v>
      </c>
      <c r="S26" s="88">
        <v>18</v>
      </c>
      <c r="V26" s="88">
        <v>19</v>
      </c>
      <c r="X26" s="88">
        <v>20</v>
      </c>
    </row>
    <row r="27" spans="2:26" ht="15.75" thickTop="1" thickBot="1" x14ac:dyDescent="0.3">
      <c r="C27" s="97">
        <f t="shared" si="5"/>
        <v>0.50016899999999997</v>
      </c>
      <c r="D27" s="178">
        <v>295.24364000000003</v>
      </c>
      <c r="E27" s="94"/>
      <c r="F27" s="95"/>
      <c r="G27" s="90"/>
      <c r="H27" s="123">
        <f t="shared" si="4"/>
        <v>96.898868978561012</v>
      </c>
      <c r="I27" s="127">
        <f t="shared" si="6"/>
        <v>-6.4497102713503285</v>
      </c>
      <c r="J27" s="128">
        <f t="shared" si="7"/>
        <v>0.47620963081319445</v>
      </c>
      <c r="K27" s="129">
        <f t="shared" si="8"/>
        <v>3.7924094364276914E-3</v>
      </c>
      <c r="N27" s="135">
        <f t="array" ref="N27:P29">MINVERSE(J32:L34)</f>
        <v>4.6624150055226349E-3</v>
      </c>
      <c r="O27" s="136">
        <v>5.7501635087701335E-2</v>
      </c>
      <c r="P27" s="137">
        <v>-2.3279838489102453</v>
      </c>
      <c r="R27" s="115" t="s">
        <v>74</v>
      </c>
      <c r="S27" s="146">
        <f t="array" ref="S27:S29">MMULT(N27:P29,J39:J41)</f>
        <v>9.6426049413000352E-3</v>
      </c>
      <c r="U27" s="198" t="s">
        <v>124</v>
      </c>
      <c r="V27" s="149">
        <f>E17+S27</f>
        <v>1.2346426049413002</v>
      </c>
      <c r="X27" s="152">
        <f>(MMULT(M23:X23,H32:H43))</f>
        <v>4.5771026187210732E-2</v>
      </c>
    </row>
    <row r="28" spans="2:26" ht="21.75" customHeight="1" thickTop="1" thickBot="1" x14ac:dyDescent="0.3">
      <c r="C28" s="98">
        <f t="shared" si="5"/>
        <v>0.20047599999999999</v>
      </c>
      <c r="D28" s="179">
        <v>293.31621999999999</v>
      </c>
      <c r="E28" s="94"/>
      <c r="F28" s="95"/>
      <c r="G28" s="90"/>
      <c r="H28" s="123">
        <f t="shared" si="4"/>
        <v>97.423138426576003</v>
      </c>
      <c r="I28" s="132">
        <f t="shared" si="6"/>
        <v>-6.415002027513923</v>
      </c>
      <c r="J28" s="133">
        <f t="shared" si="7"/>
        <v>0.66948390926318369</v>
      </c>
      <c r="K28" s="134">
        <f t="shared" si="8"/>
        <v>2.1282838421950528E-3</v>
      </c>
      <c r="N28" s="153">
        <v>5.7501635087701321E-2</v>
      </c>
      <c r="O28" s="128">
        <v>1.6030658196619545</v>
      </c>
      <c r="P28" s="139">
        <v>-52.543111892760933</v>
      </c>
      <c r="R28" s="115" t="s">
        <v>75</v>
      </c>
      <c r="S28" s="147">
        <v>-6.0903246997190408E-4</v>
      </c>
      <c r="U28" s="199" t="s">
        <v>125</v>
      </c>
      <c r="V28" s="150">
        <f>F17+S28</f>
        <v>9.8163909675300278</v>
      </c>
      <c r="X28" s="111" t="s">
        <v>106</v>
      </c>
    </row>
    <row r="29" spans="2:26" ht="15" thickBot="1" x14ac:dyDescent="0.3">
      <c r="G29" s="90"/>
      <c r="J29" s="99" t="s">
        <v>30</v>
      </c>
      <c r="N29" s="140">
        <v>-2.3279838489102453</v>
      </c>
      <c r="O29" s="141">
        <v>-52.54311189276094</v>
      </c>
      <c r="P29" s="142">
        <v>2056.8082039923779</v>
      </c>
      <c r="R29" s="115" t="s">
        <v>76</v>
      </c>
      <c r="S29" s="148">
        <v>-3.3760537407774294E-2</v>
      </c>
      <c r="U29" s="200" t="s">
        <v>126</v>
      </c>
      <c r="V29" s="151">
        <f>0+S29</f>
        <v>-3.3760537407774294E-2</v>
      </c>
      <c r="Z29" s="87"/>
    </row>
    <row r="30" spans="2:26" ht="18.75" customHeight="1" thickTop="1" x14ac:dyDescent="0.2">
      <c r="D30" s="88" t="s">
        <v>69</v>
      </c>
      <c r="E30" s="87"/>
      <c r="F30" s="93" t="s">
        <v>70</v>
      </c>
      <c r="G30" s="92"/>
      <c r="H30" s="88" t="s">
        <v>71</v>
      </c>
      <c r="I30" s="87"/>
      <c r="J30" s="87"/>
      <c r="K30" s="44"/>
      <c r="O30" s="89" t="s">
        <v>66</v>
      </c>
      <c r="S30" s="89" t="s">
        <v>67</v>
      </c>
    </row>
    <row r="31" spans="2:26" ht="19.5" customHeight="1" thickBot="1" x14ac:dyDescent="0.25">
      <c r="D31" s="88">
        <v>9</v>
      </c>
      <c r="E31" s="90"/>
      <c r="F31" s="88">
        <v>10</v>
      </c>
      <c r="G31" s="87"/>
      <c r="H31" s="88">
        <v>11</v>
      </c>
      <c r="I31" s="90"/>
      <c r="J31" s="88">
        <v>15</v>
      </c>
      <c r="S31" s="105" t="s">
        <v>31</v>
      </c>
      <c r="T31" s="87"/>
      <c r="U31" s="87"/>
      <c r="X31" s="88">
        <v>21</v>
      </c>
      <c r="Y31" s="88"/>
    </row>
    <row r="32" spans="2:26" ht="14.25" thickTop="1" thickBot="1" x14ac:dyDescent="0.25">
      <c r="D32" s="155">
        <f t="shared" ref="D32:D37" si="9">D17*PI()/200</f>
        <v>1.4222382641882692</v>
      </c>
      <c r="E32" s="42"/>
      <c r="F32" s="155">
        <f t="shared" ref="F32" si="10">D32-(PI()/2-ATAN((C17-$E$17)/$F$17))</f>
        <v>9.0825149558582119E-4</v>
      </c>
      <c r="H32" s="160">
        <f t="shared" ref="H32:H43" si="11">F32*200/PI()</f>
        <v>5.7821086037236083E-2</v>
      </c>
      <c r="J32" s="135">
        <f t="array" ref="J32:L34">MMULT(M17:X19,I17:K28)</f>
        <v>496.86017171049303</v>
      </c>
      <c r="K32" s="136">
        <v>3.7510234928977786</v>
      </c>
      <c r="L32" s="137">
        <v>0.65819112320767403</v>
      </c>
      <c r="X32" s="143">
        <f t="array" ref="X32:Z32">TRANSPOSE(J39:J41)</f>
        <v>4.7665209657314644</v>
      </c>
      <c r="Y32" s="144">
        <v>3.0342517543872335E-2</v>
      </c>
      <c r="Z32" s="145">
        <v>6.1536673940502185E-3</v>
      </c>
    </row>
    <row r="33" spans="4:29" ht="16.5" thickTop="1" x14ac:dyDescent="0.2">
      <c r="D33" s="156">
        <f t="shared" si="9"/>
        <v>1.4918540724362268</v>
      </c>
      <c r="E33" s="42"/>
      <c r="F33" s="156">
        <f>D33-(PI()/2-ATAN((C18-$E$17)/$F$17))</f>
        <v>9.3449312249105354E-4</v>
      </c>
      <c r="H33" s="161">
        <f t="shared" si="11"/>
        <v>5.9491679891932485E-2</v>
      </c>
      <c r="J33" s="153">
        <v>3.7510234928977786</v>
      </c>
      <c r="K33" s="128">
        <v>3.8626401119765226</v>
      </c>
      <c r="L33" s="139">
        <v>0.10292036627552388</v>
      </c>
      <c r="X33" s="100" t="s">
        <v>61</v>
      </c>
      <c r="Y33" s="100"/>
    </row>
    <row r="34" spans="4:29" ht="13.5" thickBot="1" x14ac:dyDescent="0.25">
      <c r="D34" s="156">
        <f t="shared" si="9"/>
        <v>1.5428628557155029</v>
      </c>
      <c r="E34" s="42"/>
      <c r="F34" s="156">
        <f>D34-(PI()/2-ATAN((C19-$E$17)/$F$17))</f>
        <v>9.4990711306475184E-4</v>
      </c>
      <c r="H34" s="161">
        <f t="shared" si="11"/>
        <v>6.0472965008962869E-2</v>
      </c>
      <c r="J34" s="140">
        <v>0.65819112320767403</v>
      </c>
      <c r="K34" s="141">
        <v>0.10292036627552388</v>
      </c>
      <c r="L34" s="142">
        <v>3.8603573294633611E-3</v>
      </c>
      <c r="Y34" s="87"/>
      <c r="Z34" s="43"/>
    </row>
    <row r="35" spans="4:29" ht="21.75" customHeight="1" thickTop="1" x14ac:dyDescent="0.2">
      <c r="D35" s="156">
        <f t="shared" si="9"/>
        <v>1.6039118549563864</v>
      </c>
      <c r="E35" s="42"/>
      <c r="F35" s="156">
        <f>D35-(PI()/2-ATAN((C20-$E$17)/$F$17))</f>
        <v>9.6037283130145923E-4</v>
      </c>
      <c r="H35" s="161">
        <f t="shared" si="11"/>
        <v>6.1139233325114457E-2</v>
      </c>
      <c r="K35" s="89" t="s">
        <v>62</v>
      </c>
    </row>
    <row r="36" spans="4:29" x14ac:dyDescent="0.2">
      <c r="D36" s="156">
        <f t="shared" si="9"/>
        <v>1.645454705411131</v>
      </c>
      <c r="E36" s="42"/>
      <c r="F36" s="156">
        <f>D36-(PI()/2-ATAN((C21-$E$17)/$F$17))</f>
        <v>9.5784352071648371E-4</v>
      </c>
      <c r="H36" s="161">
        <f t="shared" si="11"/>
        <v>6.0978212412229053E-2</v>
      </c>
      <c r="K36" s="41"/>
      <c r="L36" s="90"/>
      <c r="N36" s="90"/>
      <c r="O36" s="90"/>
      <c r="P36" s="41"/>
      <c r="Q36" s="87"/>
    </row>
    <row r="37" spans="4:29" ht="13.5" thickBot="1" x14ac:dyDescent="0.25">
      <c r="D37" s="156">
        <f t="shared" si="9"/>
        <v>1.6757308621323068</v>
      </c>
      <c r="E37" s="42"/>
      <c r="F37" s="158">
        <f>D37-(PI()/2-ATAN((C22-$E$17)/$F$17))</f>
        <v>9.4873586826715872E-4</v>
      </c>
      <c r="H37" s="161">
        <f t="shared" si="11"/>
        <v>6.0398401249319826E-2</v>
      </c>
      <c r="X37" s="88">
        <v>22</v>
      </c>
      <c r="AA37" s="88">
        <v>24</v>
      </c>
      <c r="AB37" s="88">
        <v>26</v>
      </c>
    </row>
    <row r="38" spans="4:29" ht="14.25" thickTop="1" thickBot="1" x14ac:dyDescent="0.25">
      <c r="D38" s="156">
        <f t="shared" ref="D38:D43" si="12">D23*PI()/200</f>
        <v>4.860896149190328</v>
      </c>
      <c r="E38" s="42"/>
      <c r="F38" s="159">
        <f>D38-(3*PI()/2+ATAN((C23-$E$17)/$F$17))</f>
        <v>-9.5914529657470382E-4</v>
      </c>
      <c r="H38" s="161">
        <f t="shared" si="11"/>
        <v>-6.1061086037282428E-2</v>
      </c>
      <c r="J38" s="88">
        <v>16</v>
      </c>
      <c r="X38" s="154">
        <f>MMULT(X32:Z32,S27:S29)</f>
        <v>4.5735447920315697E-2</v>
      </c>
      <c r="AA38" s="46"/>
      <c r="AB38" s="46"/>
    </row>
    <row r="39" spans="4:29" ht="21" customHeight="1" thickTop="1" thickBot="1" x14ac:dyDescent="0.3">
      <c r="D39" s="156">
        <f t="shared" si="12"/>
        <v>4.7912944781093127</v>
      </c>
      <c r="E39" s="42"/>
      <c r="F39" s="156">
        <f t="shared" ref="F39:F43" si="13">D39-(3*PI()/2+ATAN((C24-$E$17)/$F$17))</f>
        <v>-9.7124975653795076E-4</v>
      </c>
      <c r="H39" s="161">
        <f t="shared" si="11"/>
        <v>-6.1831679891925902E-2</v>
      </c>
      <c r="J39" s="146">
        <f t="array" ref="J39:J41">MMULT(M17:X19,H32:H43)</f>
        <v>4.7665209657314644</v>
      </c>
      <c r="X39" s="100" t="s">
        <v>78</v>
      </c>
      <c r="AA39" s="172">
        <f>X27-X43-X38</f>
        <v>1.9777335615728253E-6</v>
      </c>
      <c r="AB39" s="168">
        <f>ABS(AA39/8)^0.5</f>
        <v>4.972089049852216E-4</v>
      </c>
      <c r="AC39" s="169">
        <f>AB39/SQRT(2)</f>
        <v>3.5157978838138798E-4</v>
      </c>
    </row>
    <row r="40" spans="4:29" ht="14.25" thickTop="1" thickBot="1" x14ac:dyDescent="0.25">
      <c r="D40" s="156">
        <f t="shared" si="12"/>
        <v>4.7402602479295419</v>
      </c>
      <c r="E40" s="42"/>
      <c r="F40" s="156">
        <f t="shared" si="13"/>
        <v>-1.0121106476059794E-3</v>
      </c>
      <c r="H40" s="161">
        <f t="shared" si="11"/>
        <v>-6.4432965008972387E-2</v>
      </c>
      <c r="J40" s="147">
        <v>3.0342517543872335E-2</v>
      </c>
      <c r="X40" s="87"/>
      <c r="AA40" s="47"/>
      <c r="AB40" s="47"/>
    </row>
    <row r="41" spans="4:29" ht="18" thickTop="1" thickBot="1" x14ac:dyDescent="0.35">
      <c r="D41" s="156">
        <f t="shared" si="12"/>
        <v>4.6792162752369046</v>
      </c>
      <c r="E41" s="42"/>
      <c r="F41" s="156">
        <f t="shared" si="13"/>
        <v>-1.0175498175968301E-3</v>
      </c>
      <c r="H41" s="161">
        <f t="shared" si="11"/>
        <v>-6.4779233325116786E-2</v>
      </c>
      <c r="J41" s="148">
        <v>6.1536673940502185E-3</v>
      </c>
      <c r="AA41" s="106" t="s">
        <v>68</v>
      </c>
      <c r="AC41" s="87" t="s">
        <v>39</v>
      </c>
    </row>
    <row r="42" spans="4:29" ht="19.5" customHeight="1" thickTop="1" thickBot="1" x14ac:dyDescent="0.25">
      <c r="D42" s="156">
        <f t="shared" si="12"/>
        <v>4.6376762522155488</v>
      </c>
      <c r="E42" s="42"/>
      <c r="F42" s="156">
        <f t="shared" si="13"/>
        <v>-1.0121930736231022E-3</v>
      </c>
      <c r="H42" s="161">
        <f t="shared" si="11"/>
        <v>-6.4438212412198187E-2</v>
      </c>
      <c r="J42" s="100" t="s">
        <v>65</v>
      </c>
      <c r="X42" s="88">
        <v>23</v>
      </c>
      <c r="AC42" s="87" t="s">
        <v>40</v>
      </c>
    </row>
    <row r="43" spans="4:29" ht="14.25" thickTop="1" thickBot="1" x14ac:dyDescent="0.25">
      <c r="D43" s="157">
        <f t="shared" si="12"/>
        <v>4.6074004096536374</v>
      </c>
      <c r="E43" s="42"/>
      <c r="F43" s="157">
        <f t="shared" si="13"/>
        <v>-1.0027712619091744E-3</v>
      </c>
      <c r="H43" s="163">
        <f t="shared" si="11"/>
        <v>-6.3838401249337096E-2</v>
      </c>
      <c r="K43" s="87"/>
      <c r="X43" s="108">
        <f>12*H47^2</f>
        <v>3.3600533333460542E-5</v>
      </c>
    </row>
    <row r="44" spans="4:29" ht="15.75" x14ac:dyDescent="0.2">
      <c r="H44" s="100" t="s">
        <v>32</v>
      </c>
      <c r="X44" s="100" t="s">
        <v>77</v>
      </c>
    </row>
    <row r="45" spans="4:29" x14ac:dyDescent="0.2">
      <c r="F45" s="102" t="s">
        <v>60</v>
      </c>
      <c r="H45" s="88"/>
      <c r="Y45" s="88"/>
    </row>
    <row r="46" spans="4:29" ht="13.5" thickBot="1" x14ac:dyDescent="0.25">
      <c r="F46" s="116" t="s">
        <v>79</v>
      </c>
      <c r="H46" s="88">
        <v>12</v>
      </c>
    </row>
    <row r="47" spans="4:29" ht="14.25" thickTop="1" thickBot="1" x14ac:dyDescent="0.25">
      <c r="F47" s="19" t="s">
        <v>80</v>
      </c>
      <c r="H47" s="154">
        <f>SUM(H32:H43)/12</f>
        <v>-1.6733333333365009E-3</v>
      </c>
      <c r="I47" s="114" t="s">
        <v>18</v>
      </c>
    </row>
    <row r="48" spans="4:29" ht="19.5" customHeight="1" thickTop="1" x14ac:dyDescent="0.2">
      <c r="H48" s="101" t="s">
        <v>81</v>
      </c>
    </row>
  </sheetData>
  <sheetProtection sheet="1" objects="1" scenarios="1"/>
  <phoneticPr fontId="3" type="noConversion"/>
  <printOptions gridLines="1" gridLinesSet="0"/>
  <pageMargins left="0" right="0" top="0" bottom="0" header="0" footer="0"/>
  <pageSetup paperSize="9" orientation="landscape" horizontalDpi="4294967292" verticalDpi="4294967292" r:id="rId1"/>
  <headerFooter alignWithMargins="0">
    <oddHeader>&amp;F</oddHead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8"/>
  <sheetViews>
    <sheetView zoomScale="80" zoomScaleNormal="80" workbookViewId="0">
      <selection activeCell="H10" sqref="H10"/>
    </sheetView>
  </sheetViews>
  <sheetFormatPr baseColWidth="10" defaultRowHeight="12.75" x14ac:dyDescent="0.2"/>
  <cols>
    <col min="1" max="1" width="2.85546875" style="40" customWidth="1"/>
    <col min="3" max="3" width="9.85546875" bestFit="1" customWidth="1"/>
    <col min="4" max="4" width="14.85546875" bestFit="1" customWidth="1"/>
    <col min="7" max="7" width="7.140625" customWidth="1"/>
    <col min="8" max="8" width="16.42578125" customWidth="1"/>
    <col min="17" max="17" width="12.42578125" bestFit="1" customWidth="1"/>
    <col min="21" max="21" width="11.28515625" customWidth="1"/>
    <col min="23" max="23" width="15.85546875" customWidth="1"/>
    <col min="24" max="24" width="12.28515625" bestFit="1" customWidth="1"/>
    <col min="26" max="26" width="12.28515625" bestFit="1" customWidth="1"/>
    <col min="34" max="16384" width="11.42578125" style="40"/>
  </cols>
  <sheetData>
    <row r="1" spans="2:13" customFormat="1" x14ac:dyDescent="0.2"/>
    <row r="2" spans="2:13" customFormat="1" x14ac:dyDescent="0.2"/>
    <row r="3" spans="2:13" customFormat="1" x14ac:dyDescent="0.2"/>
    <row r="4" spans="2:13" customFormat="1" x14ac:dyDescent="0.2"/>
    <row r="6" spans="2:13" x14ac:dyDescent="0.2">
      <c r="B6" s="86" t="s">
        <v>86</v>
      </c>
      <c r="C6" s="85"/>
      <c r="D6" s="85"/>
    </row>
    <row r="7" spans="2:13" x14ac:dyDescent="0.2">
      <c r="B7" s="48" t="s">
        <v>88</v>
      </c>
    </row>
    <row r="8" spans="2:13" x14ac:dyDescent="0.2">
      <c r="B8" s="48"/>
    </row>
    <row r="9" spans="2:13" x14ac:dyDescent="0.2">
      <c r="B9" s="48" t="s">
        <v>93</v>
      </c>
    </row>
    <row r="10" spans="2:13" x14ac:dyDescent="0.2">
      <c r="B10" s="48"/>
    </row>
    <row r="11" spans="2:13" x14ac:dyDescent="0.2">
      <c r="B11" s="68"/>
      <c r="C11" s="69" t="s">
        <v>36</v>
      </c>
    </row>
    <row r="12" spans="2:13" x14ac:dyDescent="0.2">
      <c r="B12" s="70"/>
      <c r="C12" s="69" t="s">
        <v>105</v>
      </c>
      <c r="D12" s="45"/>
    </row>
    <row r="13" spans="2:13" x14ac:dyDescent="0.2">
      <c r="B13" s="48"/>
    </row>
    <row r="14" spans="2:13" ht="14.25" x14ac:dyDescent="0.2">
      <c r="B14" s="50"/>
      <c r="H14" s="19" t="s">
        <v>72</v>
      </c>
      <c r="I14" s="102" t="s">
        <v>55</v>
      </c>
    </row>
    <row r="15" spans="2:13" x14ac:dyDescent="0.2">
      <c r="B15" s="49"/>
      <c r="C15" s="88" t="s">
        <v>56</v>
      </c>
      <c r="D15" s="88" t="s">
        <v>57</v>
      </c>
      <c r="E15" s="88" t="s">
        <v>58</v>
      </c>
      <c r="F15" s="88" t="s">
        <v>59</v>
      </c>
      <c r="G15" s="92"/>
      <c r="H15" s="87" t="s">
        <v>29</v>
      </c>
      <c r="I15" s="105" t="s">
        <v>100</v>
      </c>
      <c r="J15" s="105" t="s">
        <v>101</v>
      </c>
      <c r="K15" s="107" t="s">
        <v>54</v>
      </c>
    </row>
    <row r="16" spans="2:13" ht="13.5" thickBot="1" x14ac:dyDescent="0.25">
      <c r="B16" s="50"/>
      <c r="C16" s="88">
        <v>1</v>
      </c>
      <c r="D16" s="88">
        <v>2</v>
      </c>
      <c r="E16" s="88">
        <v>3</v>
      </c>
      <c r="F16" s="88">
        <v>4</v>
      </c>
      <c r="G16" s="90"/>
      <c r="H16" s="88">
        <v>5</v>
      </c>
      <c r="I16" s="88">
        <v>6</v>
      </c>
      <c r="J16" s="88">
        <v>7</v>
      </c>
      <c r="K16" s="88">
        <v>8</v>
      </c>
      <c r="L16" s="90"/>
      <c r="M16" s="88">
        <v>13</v>
      </c>
    </row>
    <row r="17" spans="2:26" ht="16.5" thickTop="1" x14ac:dyDescent="0.2">
      <c r="B17" s="50"/>
      <c r="C17" s="190">
        <v>2.7033359999999997</v>
      </c>
      <c r="D17" s="177">
        <v>90.542199999999994</v>
      </c>
      <c r="E17" s="103">
        <v>1.2250000000000001</v>
      </c>
      <c r="F17" s="104">
        <v>9.8170000000000002</v>
      </c>
      <c r="G17" s="90"/>
      <c r="H17" s="123">
        <f>(C17-$E$17)^2+$F$17^2</f>
        <v>98.558966328896005</v>
      </c>
      <c r="I17" s="124">
        <f>200/PI()*$F$17/H17</f>
        <v>6.3410733067928184</v>
      </c>
      <c r="J17" s="125">
        <f>200/PI()*(C17-$E$17)/H17</f>
        <v>0.95489833432523841</v>
      </c>
      <c r="K17" s="126">
        <f>(C17*SIN(2*D32))/(2*$F$17)</f>
        <v>4.0310867958371258E-2</v>
      </c>
      <c r="L17" s="167" t="s">
        <v>64</v>
      </c>
      <c r="M17" s="135">
        <f t="array" ref="M17:X19">TRANSPOSE(I17:K28)</f>
        <v>6.3410733067928184</v>
      </c>
      <c r="N17" s="136">
        <v>6.4435833935680602</v>
      </c>
      <c r="O17" s="136">
        <v>6.4794623641792466</v>
      </c>
      <c r="P17" s="136">
        <v>6.478168112751864</v>
      </c>
      <c r="Q17" s="136">
        <v>6.4497102713503285</v>
      </c>
      <c r="R17" s="136">
        <v>6.415002027513923</v>
      </c>
      <c r="S17" s="136">
        <v>-6.3410733067928184</v>
      </c>
      <c r="T17" s="136">
        <v>-6.4435833935680602</v>
      </c>
      <c r="U17" s="136">
        <v>-6.4794623641792466</v>
      </c>
      <c r="V17" s="136">
        <v>-6.478168112751864</v>
      </c>
      <c r="W17" s="136">
        <v>-6.4497102713503285</v>
      </c>
      <c r="X17" s="137">
        <v>-6.415002027513923</v>
      </c>
    </row>
    <row r="18" spans="2:26" x14ac:dyDescent="0.2">
      <c r="B18" s="50"/>
      <c r="C18" s="191">
        <v>2.0108220000000001</v>
      </c>
      <c r="D18" s="178">
        <v>94.97448</v>
      </c>
      <c r="E18" s="94"/>
      <c r="F18" s="95"/>
      <c r="G18" s="90"/>
      <c r="H18" s="123">
        <f t="shared" ref="H18:H21" si="0">(C18-$E$17)^2+$F$17^2</f>
        <v>96.991005215684012</v>
      </c>
      <c r="I18" s="127">
        <f t="shared" ref="I18:I22" si="1">200/PI()*$F$17/H18</f>
        <v>6.4435833935680602</v>
      </c>
      <c r="J18" s="128">
        <f t="shared" ref="J18:J22" si="2">200/PI()*(C18-$E$17)/H18</f>
        <v>0.51578991438325761</v>
      </c>
      <c r="K18" s="129">
        <f t="shared" ref="K18:K23" si="3">C18*SIN(2*D33)/(2*$F$17)</f>
        <v>1.6102376473006413E-2</v>
      </c>
      <c r="M18" s="138">
        <v>0.95489833432523841</v>
      </c>
      <c r="N18" s="128">
        <v>0.51578991438325761</v>
      </c>
      <c r="O18" s="128">
        <v>0.1872008222435638</v>
      </c>
      <c r="P18" s="128">
        <v>-0.20837832473997478</v>
      </c>
      <c r="Q18" s="128">
        <v>-0.47620963081319445</v>
      </c>
      <c r="R18" s="128">
        <v>-0.66948390926318369</v>
      </c>
      <c r="S18" s="128">
        <v>-0.95489833432523841</v>
      </c>
      <c r="T18" s="128">
        <v>-0.51578991438325761</v>
      </c>
      <c r="U18" s="128">
        <v>-0.1872008222435638</v>
      </c>
      <c r="V18" s="128">
        <v>0.20837832473997478</v>
      </c>
      <c r="W18" s="128">
        <v>0.47620963081319445</v>
      </c>
      <c r="X18" s="139">
        <v>0.66948390926318369</v>
      </c>
    </row>
    <row r="19" spans="2:26" ht="13.5" thickBot="1" x14ac:dyDescent="0.25">
      <c r="C19" s="192">
        <v>1.5086269999999999</v>
      </c>
      <c r="D19" s="178">
        <v>98.222219999999993</v>
      </c>
      <c r="E19" s="94"/>
      <c r="F19" s="95"/>
      <c r="G19" s="90"/>
      <c r="H19" s="123">
        <f t="shared" si="0"/>
        <v>96.453933275129003</v>
      </c>
      <c r="I19" s="127">
        <f t="shared" si="1"/>
        <v>6.4794623641792466</v>
      </c>
      <c r="J19" s="128">
        <f t="shared" si="2"/>
        <v>0.1872008222435638</v>
      </c>
      <c r="K19" s="129">
        <f t="shared" si="3"/>
        <v>4.2891888953413976E-3</v>
      </c>
      <c r="M19" s="140">
        <v>4.0310867958371258E-2</v>
      </c>
      <c r="N19" s="141">
        <v>1.6102376473006413E-2</v>
      </c>
      <c r="O19" s="141">
        <v>4.2891888953413976E-3</v>
      </c>
      <c r="P19" s="141">
        <v>-3.0652643635343535E-3</v>
      </c>
      <c r="Q19" s="141">
        <v>-3.7897028564332891E-3</v>
      </c>
      <c r="R19" s="141">
        <v>-2.127141845498138E-3</v>
      </c>
      <c r="S19" s="141">
        <v>-4.0295150829634432E-2</v>
      </c>
      <c r="T19" s="141">
        <v>-1.6094051487486303E-2</v>
      </c>
      <c r="U19" s="141">
        <v>-4.2822958301201282E-3</v>
      </c>
      <c r="V19" s="141">
        <v>3.0691837764745757E-3</v>
      </c>
      <c r="W19" s="141">
        <v>3.7919979124663582E-3</v>
      </c>
      <c r="X19" s="142">
        <v>2.1282461943958235E-3</v>
      </c>
    </row>
    <row r="20" spans="2:26" ht="13.5" thickTop="1" x14ac:dyDescent="0.2">
      <c r="C20" s="192">
        <v>0.90922400000000003</v>
      </c>
      <c r="D20" s="178">
        <v>102.10850000000001</v>
      </c>
      <c r="E20" s="94"/>
      <c r="F20" s="95"/>
      <c r="G20" s="90"/>
      <c r="H20" s="123">
        <f t="shared" si="0"/>
        <v>96.473203482176004</v>
      </c>
      <c r="I20" s="127">
        <f t="shared" si="1"/>
        <v>6.478168112751864</v>
      </c>
      <c r="J20" s="128">
        <f t="shared" si="2"/>
        <v>-0.20837832473997478</v>
      </c>
      <c r="K20" s="129">
        <f t="shared" si="3"/>
        <v>-3.0652643635343535E-3</v>
      </c>
      <c r="M20" s="100"/>
      <c r="R20" s="87"/>
      <c r="S20" s="87"/>
    </row>
    <row r="21" spans="2:26" x14ac:dyDescent="0.2">
      <c r="B21" s="42"/>
      <c r="C21" s="192">
        <v>0.50016899999999997</v>
      </c>
      <c r="D21" s="178">
        <v>104.75294</v>
      </c>
      <c r="E21" s="94"/>
      <c r="F21" s="95"/>
      <c r="G21" s="90"/>
      <c r="H21" s="123">
        <f t="shared" si="0"/>
        <v>96.898868978561012</v>
      </c>
      <c r="I21" s="127">
        <f t="shared" si="1"/>
        <v>6.4497102713503285</v>
      </c>
      <c r="J21" s="128">
        <f t="shared" si="2"/>
        <v>-0.47620963081319445</v>
      </c>
      <c r="K21" s="129">
        <f t="shared" si="3"/>
        <v>-3.7897028564332891E-3</v>
      </c>
      <c r="Q21" s="87"/>
      <c r="R21" s="87"/>
      <c r="S21" s="87"/>
      <c r="T21" s="87"/>
    </row>
    <row r="22" spans="2:26" ht="13.5" thickBot="1" x14ac:dyDescent="0.25">
      <c r="C22" s="193">
        <v>0.20047599999999999</v>
      </c>
      <c r="D22" s="179">
        <v>106.68013999999999</v>
      </c>
      <c r="E22" s="94"/>
      <c r="F22" s="95"/>
      <c r="G22" s="90"/>
      <c r="H22" s="123">
        <f>(C22-$E$17)^2+$F$17^2</f>
        <v>97.423138426576003</v>
      </c>
      <c r="I22" s="130">
        <f t="shared" si="1"/>
        <v>6.415002027513923</v>
      </c>
      <c r="J22" s="131">
        <f t="shared" si="2"/>
        <v>-0.66948390926318369</v>
      </c>
      <c r="K22" s="129">
        <f t="shared" si="3"/>
        <v>-2.127141845498138E-3</v>
      </c>
      <c r="M22" s="88">
        <v>14</v>
      </c>
    </row>
    <row r="23" spans="2:26" ht="17.25" thickTop="1" thickBot="1" x14ac:dyDescent="0.25">
      <c r="C23" s="96">
        <f>C17</f>
        <v>2.7033359999999997</v>
      </c>
      <c r="D23" s="177">
        <v>309.45400000000001</v>
      </c>
      <c r="E23" s="94"/>
      <c r="F23" s="95"/>
      <c r="G23" s="90"/>
      <c r="H23" s="123">
        <f t="shared" ref="H23:H28" si="4">(C23-$E$17)^2+$F$17^2</f>
        <v>98.558966328896005</v>
      </c>
      <c r="I23" s="127">
        <f>-200/PI()*$F$17/H23</f>
        <v>-6.3410733067928184</v>
      </c>
      <c r="J23" s="128">
        <f>-200/PI()*(C23-$E$17)/H23</f>
        <v>-0.95489833432523841</v>
      </c>
      <c r="K23" s="129">
        <f t="shared" si="3"/>
        <v>-4.0295150829634432E-2</v>
      </c>
      <c r="L23" s="167" t="s">
        <v>63</v>
      </c>
      <c r="M23" s="143">
        <f t="array" ref="M23:X23">TRANSPOSE(H32:H43)</f>
        <v>5.7521086037237289E-2</v>
      </c>
      <c r="N23" s="144">
        <v>5.9591679891932078E-2</v>
      </c>
      <c r="O23" s="144">
        <v>6.0992965008969259E-2</v>
      </c>
      <c r="P23" s="144">
        <v>6.1439233325127386E-2</v>
      </c>
      <c r="Q23" s="144">
        <v>6.1018212412231723E-2</v>
      </c>
      <c r="R23" s="144">
        <v>6.0198401249306491E-2</v>
      </c>
      <c r="S23" s="144">
        <v>-6.1321086037236149E-2</v>
      </c>
      <c r="T23" s="144">
        <v>-6.2211679891958305E-2</v>
      </c>
      <c r="U23" s="144">
        <v>-6.3852965008940804E-2</v>
      </c>
      <c r="V23" s="144">
        <v>-6.4139233325130676E-2</v>
      </c>
      <c r="W23" s="144">
        <v>-6.3918212412234207E-2</v>
      </c>
      <c r="X23" s="145">
        <v>-6.3718401249258413E-2</v>
      </c>
    </row>
    <row r="24" spans="2:26" ht="13.5" thickTop="1" x14ac:dyDescent="0.2">
      <c r="C24" s="97">
        <f t="shared" ref="C24:C28" si="5">C18</f>
        <v>2.0108220000000001</v>
      </c>
      <c r="D24" s="178">
        <v>305.02289999999999</v>
      </c>
      <c r="E24" s="94"/>
      <c r="F24" s="95"/>
      <c r="G24" s="90"/>
      <c r="H24" s="123">
        <f t="shared" si="4"/>
        <v>96.991005215684012</v>
      </c>
      <c r="I24" s="127">
        <f t="shared" ref="I24:I28" si="6">-200/PI()*$F$17/H24</f>
        <v>-6.4435833935680602</v>
      </c>
      <c r="J24" s="128">
        <f t="shared" ref="J24:J28" si="7">-200/PI()*(C24-$E$17)/H24</f>
        <v>-0.51578991438325761</v>
      </c>
      <c r="K24" s="129">
        <f t="shared" ref="K24:K28" si="8">C24*SIN(2*D39)/(2*$F$17)</f>
        <v>-1.6094051487486303E-2</v>
      </c>
      <c r="M24" s="100"/>
      <c r="Q24" s="40"/>
    </row>
    <row r="25" spans="2:26" x14ac:dyDescent="0.2">
      <c r="C25" s="97">
        <f t="shared" si="5"/>
        <v>1.5086269999999999</v>
      </c>
      <c r="D25" s="178">
        <v>301.77492000000001</v>
      </c>
      <c r="E25" s="94"/>
      <c r="F25" s="95"/>
      <c r="G25" s="90"/>
      <c r="H25" s="123">
        <f t="shared" si="4"/>
        <v>96.453933275129003</v>
      </c>
      <c r="I25" s="127">
        <f t="shared" si="6"/>
        <v>-6.4794623641792466</v>
      </c>
      <c r="J25" s="128">
        <f t="shared" si="7"/>
        <v>-0.1872008222435638</v>
      </c>
      <c r="K25" s="129">
        <f t="shared" si="8"/>
        <v>-4.2822958301201282E-3</v>
      </c>
      <c r="Q25" s="87"/>
      <c r="R25" s="90"/>
    </row>
    <row r="26" spans="2:26" ht="13.5" thickBot="1" x14ac:dyDescent="0.25">
      <c r="C26" s="97">
        <f t="shared" si="5"/>
        <v>0.90922400000000003</v>
      </c>
      <c r="D26" s="178">
        <v>297.8888</v>
      </c>
      <c r="E26" s="94"/>
      <c r="F26" s="95"/>
      <c r="G26" s="90"/>
      <c r="H26" s="123">
        <f t="shared" si="4"/>
        <v>96.473203482176004</v>
      </c>
      <c r="I26" s="127">
        <f t="shared" si="6"/>
        <v>-6.478168112751864</v>
      </c>
      <c r="J26" s="128">
        <f t="shared" si="7"/>
        <v>0.20837832473997478</v>
      </c>
      <c r="K26" s="129">
        <f t="shared" si="8"/>
        <v>3.0691837764745757E-3</v>
      </c>
      <c r="N26" s="88">
        <v>17</v>
      </c>
      <c r="S26" s="88">
        <v>18</v>
      </c>
      <c r="V26" s="88">
        <v>19</v>
      </c>
      <c r="X26" s="88">
        <v>20</v>
      </c>
    </row>
    <row r="27" spans="2:26" ht="15.75" thickTop="1" thickBot="1" x14ac:dyDescent="0.3">
      <c r="C27" s="97">
        <f t="shared" si="5"/>
        <v>0.50016899999999997</v>
      </c>
      <c r="D27" s="178">
        <v>295.24416000000002</v>
      </c>
      <c r="E27" s="94"/>
      <c r="F27" s="95"/>
      <c r="G27" s="90"/>
      <c r="H27" s="123">
        <f t="shared" si="4"/>
        <v>96.898868978561012</v>
      </c>
      <c r="I27" s="127">
        <f t="shared" si="6"/>
        <v>-6.4497102713503285</v>
      </c>
      <c r="J27" s="128">
        <f t="shared" si="7"/>
        <v>0.47620963081319445</v>
      </c>
      <c r="K27" s="129">
        <f t="shared" si="8"/>
        <v>3.7919979124663582E-3</v>
      </c>
      <c r="N27" s="135">
        <f t="array" ref="N27:P29">MINVERSE(J32:L34)</f>
        <v>4.6623477431891984E-3</v>
      </c>
      <c r="O27" s="136">
        <v>5.7499612324477409E-2</v>
      </c>
      <c r="P27" s="137">
        <v>-2.3279270293994903</v>
      </c>
      <c r="R27" s="115" t="s">
        <v>74</v>
      </c>
      <c r="S27" s="146">
        <f t="array" ref="S27:S29">MMULT(N27:P29,J39:J41)</f>
        <v>9.6387865709505506E-3</v>
      </c>
      <c r="U27" s="198" t="s">
        <v>124</v>
      </c>
      <c r="V27" s="149">
        <f>E17+S27</f>
        <v>1.2346387865709507</v>
      </c>
      <c r="X27" s="152">
        <f>(MMULT(M23:X23,H32:H43))</f>
        <v>4.5669018217838454E-2</v>
      </c>
    </row>
    <row r="28" spans="2:26" ht="21.75" customHeight="1" thickTop="1" thickBot="1" x14ac:dyDescent="0.3">
      <c r="C28" s="98">
        <f t="shared" si="5"/>
        <v>0.20047599999999999</v>
      </c>
      <c r="D28" s="179">
        <v>293.31634000000003</v>
      </c>
      <c r="E28" s="94"/>
      <c r="F28" s="95"/>
      <c r="G28" s="90"/>
      <c r="H28" s="123">
        <f t="shared" si="4"/>
        <v>97.423138426576003</v>
      </c>
      <c r="I28" s="132">
        <f t="shared" si="6"/>
        <v>-6.415002027513923</v>
      </c>
      <c r="J28" s="133">
        <f t="shared" si="7"/>
        <v>0.66948390926318369</v>
      </c>
      <c r="K28" s="134">
        <f t="shared" si="8"/>
        <v>2.1282461943958235E-3</v>
      </c>
      <c r="N28" s="153">
        <v>5.7499612324477395E-2</v>
      </c>
      <c r="O28" s="128">
        <v>1.6030087757650213</v>
      </c>
      <c r="P28" s="139">
        <v>-52.541383608650641</v>
      </c>
      <c r="R28" s="115" t="s">
        <v>75</v>
      </c>
      <c r="S28" s="147">
        <v>-2.4403504027220579E-4</v>
      </c>
      <c r="U28" s="199" t="s">
        <v>125</v>
      </c>
      <c r="V28" s="150">
        <f>F17+S28</f>
        <v>9.8167559649597287</v>
      </c>
      <c r="X28" s="111" t="s">
        <v>106</v>
      </c>
    </row>
    <row r="29" spans="2:26" ht="15" thickBot="1" x14ac:dyDescent="0.3">
      <c r="G29" s="90"/>
      <c r="J29" s="99" t="s">
        <v>30</v>
      </c>
      <c r="N29" s="140">
        <v>-2.3279270293994898</v>
      </c>
      <c r="O29" s="141">
        <v>-52.541383608650648</v>
      </c>
      <c r="P29" s="142">
        <v>2056.7603071076223</v>
      </c>
      <c r="R29" s="115" t="s">
        <v>76</v>
      </c>
      <c r="S29" s="148">
        <v>-4.0404063367063259E-2</v>
      </c>
      <c r="U29" s="200" t="s">
        <v>126</v>
      </c>
      <c r="V29" s="151">
        <f>0+S29</f>
        <v>-4.0404063367063259E-2</v>
      </c>
      <c r="Z29" s="87"/>
    </row>
    <row r="30" spans="2:26" ht="16.5" thickTop="1" x14ac:dyDescent="0.2">
      <c r="D30" s="88" t="s">
        <v>69</v>
      </c>
      <c r="E30" s="87"/>
      <c r="F30" s="93" t="s">
        <v>70</v>
      </c>
      <c r="G30" s="92"/>
      <c r="H30" s="88" t="s">
        <v>71</v>
      </c>
      <c r="I30" s="87"/>
      <c r="J30" s="87"/>
      <c r="K30" s="44"/>
      <c r="O30" s="89" t="s">
        <v>66</v>
      </c>
      <c r="S30" s="89" t="s">
        <v>67</v>
      </c>
    </row>
    <row r="31" spans="2:26" ht="19.5" customHeight="1" thickBot="1" x14ac:dyDescent="0.25">
      <c r="D31" s="88">
        <v>9</v>
      </c>
      <c r="E31" s="90"/>
      <c r="F31" s="88">
        <v>10</v>
      </c>
      <c r="G31" s="87"/>
      <c r="H31" s="88">
        <v>11</v>
      </c>
      <c r="I31" s="90"/>
      <c r="J31" s="88">
        <v>15</v>
      </c>
      <c r="S31" s="105" t="s">
        <v>31</v>
      </c>
      <c r="T31" s="87"/>
      <c r="U31" s="87"/>
      <c r="X31" s="88">
        <v>21</v>
      </c>
      <c r="Y31" s="88"/>
    </row>
    <row r="32" spans="2:26" ht="14.25" thickTop="1" thickBot="1" x14ac:dyDescent="0.25">
      <c r="D32" s="155">
        <f t="shared" ref="D32:D43" si="9">D17*PI()/200</f>
        <v>1.4222335517992888</v>
      </c>
      <c r="E32" s="42"/>
      <c r="F32" s="155">
        <f t="shared" ref="F32" si="10">D32-(PI()/2-ATAN((C17-$E$17)/$F$17))</f>
        <v>9.0353910660545544E-4</v>
      </c>
      <c r="H32" s="160">
        <f t="shared" ref="H32:H43" si="11">F32*200/PI()</f>
        <v>5.7521086037237289E-2</v>
      </c>
      <c r="J32" s="135">
        <f t="array" ref="J32:L34">MMULT(M17:X19,I17:K28)</f>
        <v>496.86017171049303</v>
      </c>
      <c r="K32" s="136">
        <v>3.7510234928977786</v>
      </c>
      <c r="L32" s="137">
        <v>0.65818957276847889</v>
      </c>
      <c r="X32" s="143">
        <f t="array" ref="X32:Z32">TRANSPOSE(J39:J41)</f>
        <v>4.761620236348457</v>
      </c>
      <c r="Y32" s="144">
        <v>3.10543328242412E-2</v>
      </c>
      <c r="Z32" s="145">
        <v>6.1630604005671243E-3</v>
      </c>
    </row>
    <row r="33" spans="4:29" ht="16.5" thickTop="1" x14ac:dyDescent="0.2">
      <c r="D33" s="156">
        <f t="shared" si="9"/>
        <v>1.4918556432325536</v>
      </c>
      <c r="E33" s="42"/>
      <c r="F33" s="156">
        <f>D33-(PI()/2-ATAN((C18-$E$17)/$F$17))</f>
        <v>9.3606391881784212E-4</v>
      </c>
      <c r="H33" s="161">
        <f t="shared" si="11"/>
        <v>5.9591679891932078E-2</v>
      </c>
      <c r="J33" s="153">
        <v>3.7510234928977786</v>
      </c>
      <c r="K33" s="128">
        <v>3.8626401119765226</v>
      </c>
      <c r="L33" s="139">
        <v>0.10291941365799245</v>
      </c>
      <c r="Y33" s="100" t="s">
        <v>61</v>
      </c>
    </row>
    <row r="34" spans="4:29" ht="13.5" thickBot="1" x14ac:dyDescent="0.25">
      <c r="D34" s="156">
        <f t="shared" si="9"/>
        <v>1.5428710238564023</v>
      </c>
      <c r="E34" s="42"/>
      <c r="F34" s="156">
        <f>D34-(PI()/2-ATAN((C19-$E$17)/$F$17))</f>
        <v>9.5807525396418569E-4</v>
      </c>
      <c r="H34" s="161">
        <f t="shared" si="11"/>
        <v>6.0992965008969259E-2</v>
      </c>
      <c r="J34" s="140">
        <v>0.65818957276847889</v>
      </c>
      <c r="K34" s="141">
        <v>0.10291941365799245</v>
      </c>
      <c r="L34" s="142">
        <v>3.8603164711322716E-3</v>
      </c>
      <c r="Y34" s="87"/>
      <c r="Z34" s="43"/>
    </row>
    <row r="35" spans="4:29" ht="21.75" customHeight="1" thickTop="1" x14ac:dyDescent="0.2">
      <c r="D35" s="156">
        <f t="shared" si="9"/>
        <v>1.603916567345367</v>
      </c>
      <c r="E35" s="42"/>
      <c r="F35" s="156">
        <f>D35-(PI()/2-ATAN((C20-$E$17)/$F$17))</f>
        <v>9.6508522028204702E-4</v>
      </c>
      <c r="H35" s="161">
        <f t="shared" si="11"/>
        <v>6.1439233325127386E-2</v>
      </c>
      <c r="K35" s="89" t="s">
        <v>62</v>
      </c>
    </row>
    <row r="36" spans="4:29" x14ac:dyDescent="0.2">
      <c r="D36" s="156">
        <f t="shared" si="9"/>
        <v>1.6454553337296618</v>
      </c>
      <c r="E36" s="42"/>
      <c r="F36" s="156">
        <f>D36-(PI()/2-ATAN((C21-$E$17)/$F$17))</f>
        <v>9.5847183924724355E-4</v>
      </c>
      <c r="H36" s="161">
        <f t="shared" si="11"/>
        <v>6.1018212412231723E-2</v>
      </c>
      <c r="K36" s="41"/>
      <c r="L36" s="90"/>
      <c r="M36" s="90"/>
      <c r="N36" s="90"/>
      <c r="O36" s="41"/>
      <c r="P36" s="87"/>
    </row>
    <row r="37" spans="4:29" ht="13.5" thickBot="1" x14ac:dyDescent="0.25">
      <c r="D37" s="156">
        <f t="shared" si="9"/>
        <v>1.675727720539653</v>
      </c>
      <c r="E37" s="42"/>
      <c r="F37" s="158">
        <f>D37-(PI()/2-ATAN((C22-$E$17)/$F$17))</f>
        <v>9.4559427561335951E-4</v>
      </c>
      <c r="H37" s="161">
        <f t="shared" si="11"/>
        <v>6.0198401249306491E-2</v>
      </c>
      <c r="X37" s="88">
        <v>22</v>
      </c>
      <c r="AA37" s="88">
        <v>24</v>
      </c>
      <c r="AB37" s="88">
        <v>25</v>
      </c>
    </row>
    <row r="38" spans="4:29" ht="14.25" thickTop="1" thickBot="1" x14ac:dyDescent="0.25">
      <c r="D38" s="156">
        <f t="shared" si="9"/>
        <v>4.860892065119879</v>
      </c>
      <c r="E38" s="42"/>
      <c r="F38" s="159">
        <f>D38-(3*PI()/2+ATAN((C23-$E$17)/$F$17))</f>
        <v>-9.6322936702364359E-4</v>
      </c>
      <c r="H38" s="161">
        <f t="shared" si="11"/>
        <v>-6.1321086037236149E-2</v>
      </c>
      <c r="J38" s="88">
        <v>16</v>
      </c>
      <c r="X38" s="154">
        <f>MMULT(X32:Z32,S27:S29)</f>
        <v>4.5639650161760949E-2</v>
      </c>
      <c r="AA38" s="46"/>
      <c r="AB38" s="46"/>
    </row>
    <row r="39" spans="4:29" ht="21" customHeight="1" thickTop="1" thickBot="1" x14ac:dyDescent="0.3">
      <c r="D39" s="156">
        <f t="shared" si="9"/>
        <v>4.7912885090832704</v>
      </c>
      <c r="E39" s="42"/>
      <c r="F39" s="156">
        <f t="shared" ref="F39:F43" si="12">D39-(3*PI()/2+ATAN((C24-$E$17)/$F$17))</f>
        <v>-9.7721878258028028E-4</v>
      </c>
      <c r="H39" s="161">
        <f t="shared" si="11"/>
        <v>-6.2211679891958305E-2</v>
      </c>
      <c r="J39" s="146">
        <f t="array" ref="J39:J41">MMULT(M17:X19,H32:H43)</f>
        <v>4.761620236348457</v>
      </c>
      <c r="X39" s="100" t="s">
        <v>78</v>
      </c>
      <c r="AA39" s="172">
        <f>X27-X43-X38</f>
        <v>1.1547227443120534E-6</v>
      </c>
      <c r="AB39" s="168">
        <f>(AA39/8)^0.5</f>
        <v>3.7992149588962014E-4</v>
      </c>
      <c r="AC39" s="169">
        <f>AB39/SQRT(2)</f>
        <v>2.6864506606208741E-4</v>
      </c>
    </row>
    <row r="40" spans="4:29" ht="14.25" thickTop="1" thickBot="1" x14ac:dyDescent="0.25">
      <c r="D40" s="156">
        <f t="shared" si="9"/>
        <v>4.7402693585482378</v>
      </c>
      <c r="E40" s="42"/>
      <c r="F40" s="156">
        <f t="shared" si="12"/>
        <v>-1.0030000289100727E-3</v>
      </c>
      <c r="H40" s="161">
        <f t="shared" si="11"/>
        <v>-6.3852965008940804E-2</v>
      </c>
      <c r="J40" s="147">
        <v>3.10543328242412E-2</v>
      </c>
      <c r="X40" s="87"/>
      <c r="AA40" s="47"/>
      <c r="AB40" s="47"/>
    </row>
    <row r="41" spans="4:29" ht="18" thickTop="1" thickBot="1" x14ac:dyDescent="0.35">
      <c r="D41" s="156">
        <f t="shared" si="9"/>
        <v>4.6792263283333959</v>
      </c>
      <c r="E41" s="42"/>
      <c r="F41" s="156">
        <f t="shared" si="12"/>
        <v>-1.0074967211055608E-3</v>
      </c>
      <c r="H41" s="161">
        <f t="shared" si="11"/>
        <v>-6.4139233325130676E-2</v>
      </c>
      <c r="J41" s="148">
        <v>6.1630604005671243E-3</v>
      </c>
      <c r="AA41" s="106" t="s">
        <v>68</v>
      </c>
      <c r="AC41" s="87" t="s">
        <v>39</v>
      </c>
    </row>
    <row r="42" spans="4:29" ht="17.25" thickTop="1" thickBot="1" x14ac:dyDescent="0.25">
      <c r="D42" s="156">
        <f t="shared" si="9"/>
        <v>4.6376844203564476</v>
      </c>
      <c r="E42" s="42"/>
      <c r="F42" s="156">
        <f t="shared" si="12"/>
        <v>-1.0040249327243345E-3</v>
      </c>
      <c r="H42" s="161">
        <f t="shared" si="11"/>
        <v>-6.3918212412234207E-2</v>
      </c>
      <c r="J42" s="100" t="s">
        <v>65</v>
      </c>
      <c r="X42" s="88">
        <v>23</v>
      </c>
      <c r="AC42" s="87" t="s">
        <v>40</v>
      </c>
    </row>
    <row r="43" spans="4:29" ht="14.25" thickTop="1" thickBot="1" x14ac:dyDescent="0.25">
      <c r="D43" s="157">
        <f t="shared" si="9"/>
        <v>4.6074022946092308</v>
      </c>
      <c r="E43" s="42"/>
      <c r="F43" s="157">
        <f t="shared" si="12"/>
        <v>-1.0008863063157847E-3</v>
      </c>
      <c r="H43" s="163">
        <f t="shared" si="11"/>
        <v>-6.3718401249258413E-2</v>
      </c>
      <c r="K43" s="87"/>
      <c r="X43" s="108">
        <f>12*H47^2</f>
        <v>2.8213333333193356E-5</v>
      </c>
    </row>
    <row r="44" spans="4:29" ht="18.75" customHeight="1" x14ac:dyDescent="0.2">
      <c r="H44" s="100" t="s">
        <v>32</v>
      </c>
      <c r="X44" s="100" t="s">
        <v>77</v>
      </c>
    </row>
    <row r="45" spans="4:29" x14ac:dyDescent="0.2">
      <c r="F45" s="102" t="s">
        <v>60</v>
      </c>
      <c r="H45" s="88"/>
      <c r="Z45" s="88"/>
    </row>
    <row r="46" spans="4:29" ht="13.5" thickBot="1" x14ac:dyDescent="0.25">
      <c r="F46" s="116" t="s">
        <v>79</v>
      </c>
      <c r="H46" s="88">
        <v>12</v>
      </c>
    </row>
    <row r="47" spans="4:29" ht="14.25" thickTop="1" thickBot="1" x14ac:dyDescent="0.25">
      <c r="F47" s="19" t="s">
        <v>80</v>
      </c>
      <c r="H47" s="108">
        <f>SUM(H32:H43)/12</f>
        <v>-1.5333333333295296E-3</v>
      </c>
      <c r="I47" s="114" t="s">
        <v>18</v>
      </c>
    </row>
    <row r="48" spans="4:29" ht="19.5" customHeight="1" thickTop="1" x14ac:dyDescent="0.2">
      <c r="H48" s="101" t="s">
        <v>81</v>
      </c>
    </row>
  </sheetData>
  <sheetProtection sheet="1" objects="1" scenarios="1"/>
  <printOptions gridLines="1" gridLinesSet="0"/>
  <pageMargins left="0" right="0" top="0" bottom="0" header="0" footer="0"/>
  <pageSetup paperSize="9" orientation="landscape" horizontalDpi="4294967292" verticalDpi="4294967292" r:id="rId1"/>
  <headerFooter alignWithMargins="0">
    <oddHeader>&amp;F</oddHead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8"/>
  <sheetViews>
    <sheetView zoomScale="80" zoomScaleNormal="80" workbookViewId="0">
      <selection activeCell="I6" sqref="I6"/>
    </sheetView>
  </sheetViews>
  <sheetFormatPr baseColWidth="10" defaultRowHeight="12.75" x14ac:dyDescent="0.2"/>
  <cols>
    <col min="1" max="1" width="2.85546875" style="40" customWidth="1"/>
    <col min="3" max="3" width="9.85546875" bestFit="1" customWidth="1"/>
    <col min="4" max="4" width="14.85546875" bestFit="1" customWidth="1"/>
    <col min="7" max="7" width="7.140625" customWidth="1"/>
    <col min="8" max="8" width="16.42578125" customWidth="1"/>
    <col min="17" max="17" width="12.42578125" bestFit="1" customWidth="1"/>
    <col min="21" max="21" width="11.5703125" customWidth="1"/>
    <col min="23" max="23" width="15.85546875" customWidth="1"/>
    <col min="24" max="24" width="12.28515625" bestFit="1" customWidth="1"/>
    <col min="26" max="26" width="12.28515625" bestFit="1" customWidth="1"/>
    <col min="34" max="16384" width="11.42578125" style="40"/>
  </cols>
  <sheetData>
    <row r="1" spans="2:13" customFormat="1" x14ac:dyDescent="0.2"/>
    <row r="2" spans="2:13" customFormat="1" x14ac:dyDescent="0.2"/>
    <row r="3" spans="2:13" customFormat="1" x14ac:dyDescent="0.2"/>
    <row r="4" spans="2:13" customFormat="1" x14ac:dyDescent="0.2"/>
    <row r="6" spans="2:13" x14ac:dyDescent="0.2">
      <c r="B6" s="86" t="s">
        <v>86</v>
      </c>
      <c r="C6" s="85"/>
      <c r="D6" s="85"/>
    </row>
    <row r="7" spans="2:13" x14ac:dyDescent="0.2">
      <c r="B7" s="48" t="s">
        <v>88</v>
      </c>
    </row>
    <row r="8" spans="2:13" x14ac:dyDescent="0.2">
      <c r="B8" s="48"/>
    </row>
    <row r="9" spans="2:13" x14ac:dyDescent="0.2">
      <c r="B9" s="48" t="s">
        <v>92</v>
      </c>
    </row>
    <row r="10" spans="2:13" x14ac:dyDescent="0.2">
      <c r="B10" s="48"/>
    </row>
    <row r="11" spans="2:13" x14ac:dyDescent="0.2">
      <c r="B11" s="68"/>
      <c r="C11" s="69" t="s">
        <v>36</v>
      </c>
    </row>
    <row r="12" spans="2:13" x14ac:dyDescent="0.2">
      <c r="B12" s="70"/>
      <c r="C12" s="69" t="s">
        <v>105</v>
      </c>
      <c r="D12" s="45"/>
    </row>
    <row r="13" spans="2:13" x14ac:dyDescent="0.2">
      <c r="B13" s="48"/>
    </row>
    <row r="14" spans="2:13" ht="14.25" x14ac:dyDescent="0.2">
      <c r="B14" s="50"/>
      <c r="H14" s="19" t="s">
        <v>72</v>
      </c>
      <c r="I14" s="102" t="s">
        <v>55</v>
      </c>
    </row>
    <row r="15" spans="2:13" x14ac:dyDescent="0.2">
      <c r="B15" s="49"/>
      <c r="C15" s="88" t="s">
        <v>56</v>
      </c>
      <c r="D15" s="88" t="s">
        <v>57</v>
      </c>
      <c r="E15" s="88" t="s">
        <v>58</v>
      </c>
      <c r="F15" s="88" t="s">
        <v>59</v>
      </c>
      <c r="G15" s="92"/>
      <c r="H15" s="87" t="s">
        <v>29</v>
      </c>
      <c r="I15" s="105" t="s">
        <v>100</v>
      </c>
      <c r="J15" s="105" t="s">
        <v>101</v>
      </c>
      <c r="K15" s="107" t="s">
        <v>54</v>
      </c>
    </row>
    <row r="16" spans="2:13" ht="13.5" thickBot="1" x14ac:dyDescent="0.25">
      <c r="B16" s="50"/>
      <c r="C16" s="88">
        <v>1</v>
      </c>
      <c r="D16" s="88">
        <v>2</v>
      </c>
      <c r="E16" s="88">
        <v>3</v>
      </c>
      <c r="F16" s="88">
        <v>4</v>
      </c>
      <c r="G16" s="90"/>
      <c r="H16" s="88">
        <v>5</v>
      </c>
      <c r="I16" s="88">
        <v>6</v>
      </c>
      <c r="J16" s="88">
        <v>7</v>
      </c>
      <c r="K16" s="88">
        <v>8</v>
      </c>
      <c r="L16" s="90"/>
      <c r="M16" s="88">
        <v>13</v>
      </c>
    </row>
    <row r="17" spans="2:26" ht="16.5" thickTop="1" x14ac:dyDescent="0.2">
      <c r="B17" s="50"/>
      <c r="C17" s="190">
        <v>2.7033359999999997</v>
      </c>
      <c r="D17" s="177">
        <v>90.542500000000004</v>
      </c>
      <c r="E17" s="103">
        <v>1.2250000000000001</v>
      </c>
      <c r="F17" s="104">
        <v>9.8170000000000002</v>
      </c>
      <c r="G17" s="90"/>
      <c r="H17" s="123">
        <f>(C17-$E$17)^2+$F$17^2</f>
        <v>98.558966328896005</v>
      </c>
      <c r="I17" s="124">
        <f>200/PI()*$F$17/H17</f>
        <v>6.3410733067928184</v>
      </c>
      <c r="J17" s="125">
        <f>200/PI()*(C17-$E$17)/H17</f>
        <v>0.95489833432523841</v>
      </c>
      <c r="K17" s="126">
        <f>(C17*SIN(2*D32))/(2*$F$17)</f>
        <v>4.0309627153302691E-2</v>
      </c>
      <c r="L17" s="167" t="s">
        <v>64</v>
      </c>
      <c r="M17" s="135">
        <f t="array" ref="M17:X19">TRANSPOSE(I17:K28)</f>
        <v>6.3410733067928184</v>
      </c>
      <c r="N17" s="136">
        <v>6.4435833935680602</v>
      </c>
      <c r="O17" s="136">
        <v>6.4794623641792466</v>
      </c>
      <c r="P17" s="136">
        <v>6.478168112751864</v>
      </c>
      <c r="Q17" s="136">
        <v>6.4497102713503285</v>
      </c>
      <c r="R17" s="136">
        <v>6.415002027513923</v>
      </c>
      <c r="S17" s="136">
        <v>-6.3410733067928184</v>
      </c>
      <c r="T17" s="136">
        <v>-6.4435833935680602</v>
      </c>
      <c r="U17" s="136">
        <v>-6.4794623641792466</v>
      </c>
      <c r="V17" s="136">
        <v>-6.478168112751864</v>
      </c>
      <c r="W17" s="136">
        <v>-6.4497102713503285</v>
      </c>
      <c r="X17" s="137">
        <v>-6.415002027513923</v>
      </c>
    </row>
    <row r="18" spans="2:26" x14ac:dyDescent="0.2">
      <c r="B18" s="50"/>
      <c r="C18" s="191">
        <v>2.0108220000000001</v>
      </c>
      <c r="D18" s="178">
        <v>94.974379999999996</v>
      </c>
      <c r="E18" s="94"/>
      <c r="F18" s="95"/>
      <c r="G18" s="90"/>
      <c r="H18" s="123">
        <f t="shared" ref="H18:H21" si="0">(C18-$E$17)^2+$F$17^2</f>
        <v>96.991005215684012</v>
      </c>
      <c r="I18" s="127">
        <f t="shared" ref="I18:I22" si="1">200/PI()*$F$17/H18</f>
        <v>6.4435833935680602</v>
      </c>
      <c r="J18" s="128">
        <f t="shared" ref="J18:J22" si="2">200/PI()*(C18-$E$17)/H18</f>
        <v>0.51578991438325761</v>
      </c>
      <c r="K18" s="129">
        <f t="shared" ref="K18:K28" si="3">C18*SIN(2*D33)/(2*$F$17)</f>
        <v>1.6102694218384336E-2</v>
      </c>
      <c r="M18" s="138">
        <v>0.95489833432523841</v>
      </c>
      <c r="N18" s="128">
        <v>0.51578991438325761</v>
      </c>
      <c r="O18" s="128">
        <v>0.1872008222435638</v>
      </c>
      <c r="P18" s="128">
        <v>-0.20837832473997478</v>
      </c>
      <c r="Q18" s="128">
        <v>-0.47620963081319445</v>
      </c>
      <c r="R18" s="128">
        <v>-0.66948390926318369</v>
      </c>
      <c r="S18" s="128">
        <v>-0.95489833432523841</v>
      </c>
      <c r="T18" s="128">
        <v>-0.51578991438325761</v>
      </c>
      <c r="U18" s="128">
        <v>-0.1872008222435638</v>
      </c>
      <c r="V18" s="128">
        <v>0.20837832473997478</v>
      </c>
      <c r="W18" s="128">
        <v>0.47620963081319445</v>
      </c>
      <c r="X18" s="139">
        <v>0.66948390926318369</v>
      </c>
    </row>
    <row r="19" spans="2:26" ht="13.5" thickBot="1" x14ac:dyDescent="0.25">
      <c r="C19" s="192">
        <v>1.5086269999999999</v>
      </c>
      <c r="D19" s="178">
        <v>98.221699999999998</v>
      </c>
      <c r="E19" s="94"/>
      <c r="F19" s="95"/>
      <c r="G19" s="90"/>
      <c r="H19" s="123">
        <f t="shared" si="0"/>
        <v>96.453933275129003</v>
      </c>
      <c r="I19" s="127">
        <f t="shared" si="1"/>
        <v>6.4794623641792466</v>
      </c>
      <c r="J19" s="128">
        <f t="shared" si="2"/>
        <v>0.1872008222435638</v>
      </c>
      <c r="K19" s="129">
        <f t="shared" si="3"/>
        <v>4.2904421762085402E-3</v>
      </c>
      <c r="M19" s="140">
        <v>4.0309627153302691E-2</v>
      </c>
      <c r="N19" s="141">
        <v>1.6102694218384336E-2</v>
      </c>
      <c r="O19" s="141">
        <v>4.2904421762085402E-3</v>
      </c>
      <c r="P19" s="141">
        <v>-3.0648288718457457E-3</v>
      </c>
      <c r="Q19" s="141">
        <v>-3.7896712002680319E-3</v>
      </c>
      <c r="R19" s="141">
        <v>-2.1272045932917323E-3</v>
      </c>
      <c r="S19" s="141">
        <v>-4.0296226230431324E-2</v>
      </c>
      <c r="T19" s="141">
        <v>-1.6095258934895995E-2</v>
      </c>
      <c r="U19" s="141">
        <v>-4.2808979315563638E-3</v>
      </c>
      <c r="V19" s="141">
        <v>3.070112819268311E-3</v>
      </c>
      <c r="W19" s="141">
        <v>3.7924094364276914E-3</v>
      </c>
      <c r="X19" s="142">
        <v>2.1282838421950528E-3</v>
      </c>
    </row>
    <row r="20" spans="2:26" ht="13.5" thickTop="1" x14ac:dyDescent="0.2">
      <c r="C20" s="192">
        <v>0.90922400000000003</v>
      </c>
      <c r="D20" s="178">
        <v>102.1082</v>
      </c>
      <c r="E20" s="94"/>
      <c r="F20" s="95"/>
      <c r="G20" s="90"/>
      <c r="H20" s="123">
        <f t="shared" si="0"/>
        <v>96.473203482176004</v>
      </c>
      <c r="I20" s="127">
        <f t="shared" si="1"/>
        <v>6.478168112751864</v>
      </c>
      <c r="J20" s="128">
        <f t="shared" si="2"/>
        <v>-0.20837832473997478</v>
      </c>
      <c r="K20" s="129">
        <f t="shared" si="3"/>
        <v>-3.0648288718457457E-3</v>
      </c>
      <c r="M20" s="100"/>
      <c r="R20" s="87"/>
      <c r="S20" s="87"/>
    </row>
    <row r="21" spans="2:26" x14ac:dyDescent="0.2">
      <c r="B21" s="42"/>
      <c r="C21" s="192">
        <v>0.50016899999999997</v>
      </c>
      <c r="D21" s="178">
        <v>104.7529</v>
      </c>
      <c r="E21" s="94"/>
      <c r="F21" s="95"/>
      <c r="G21" s="90"/>
      <c r="H21" s="123">
        <f t="shared" si="0"/>
        <v>96.898868978561012</v>
      </c>
      <c r="I21" s="127">
        <f t="shared" si="1"/>
        <v>6.4497102713503285</v>
      </c>
      <c r="J21" s="128">
        <f t="shared" si="2"/>
        <v>-0.47620963081319445</v>
      </c>
      <c r="K21" s="129">
        <f t="shared" si="3"/>
        <v>-3.7896712002680319E-3</v>
      </c>
      <c r="Q21" s="87"/>
      <c r="R21" s="87"/>
      <c r="S21" s="87"/>
      <c r="T21" s="87"/>
    </row>
    <row r="22" spans="2:26" ht="13.5" thickBot="1" x14ac:dyDescent="0.25">
      <c r="C22" s="193">
        <v>0.20047599999999999</v>
      </c>
      <c r="D22" s="179">
        <v>106.68034</v>
      </c>
      <c r="E22" s="94"/>
      <c r="F22" s="95"/>
      <c r="G22" s="90"/>
      <c r="H22" s="123">
        <f>(C22-$E$17)^2+$F$17^2</f>
        <v>97.423138426576003</v>
      </c>
      <c r="I22" s="130">
        <f t="shared" si="1"/>
        <v>6.415002027513923</v>
      </c>
      <c r="J22" s="131">
        <f t="shared" si="2"/>
        <v>-0.66948390926318369</v>
      </c>
      <c r="K22" s="129">
        <f t="shared" si="3"/>
        <v>-2.1272045932917323E-3</v>
      </c>
      <c r="M22" s="88">
        <v>14</v>
      </c>
    </row>
    <row r="23" spans="2:26" ht="17.25" thickTop="1" thickBot="1" x14ac:dyDescent="0.25">
      <c r="C23" s="96">
        <f>C17</f>
        <v>2.7033359999999997</v>
      </c>
      <c r="D23" s="177">
        <v>309.45425999999998</v>
      </c>
      <c r="E23" s="94"/>
      <c r="F23" s="95"/>
      <c r="G23" s="90"/>
      <c r="H23" s="123">
        <f t="shared" ref="H23:H28" si="4">(C23-$E$17)^2+$F$17^2</f>
        <v>98.558966328896005</v>
      </c>
      <c r="I23" s="127">
        <f>-200/PI()*$F$17/H23</f>
        <v>-6.3410733067928184</v>
      </c>
      <c r="J23" s="128">
        <f>-200/PI()*(C23-$E$17)/H23</f>
        <v>-0.95489833432523841</v>
      </c>
      <c r="K23" s="129">
        <f t="shared" si="3"/>
        <v>-4.0296226230431324E-2</v>
      </c>
      <c r="L23" s="167" t="s">
        <v>63</v>
      </c>
      <c r="M23" s="143">
        <f t="array" ref="M23:X23">TRANSPOSE(H32:H43)</f>
        <v>5.7821086037236083E-2</v>
      </c>
      <c r="N23" s="144">
        <v>5.9491679891932485E-2</v>
      </c>
      <c r="O23" s="144">
        <v>6.0472965008962869E-2</v>
      </c>
      <c r="P23" s="144">
        <v>6.1139233325114457E-2</v>
      </c>
      <c r="Q23" s="144">
        <v>6.0978212412229053E-2</v>
      </c>
      <c r="R23" s="144">
        <v>6.0398401249319826E-2</v>
      </c>
      <c r="S23" s="144">
        <v>-6.1061086037282428E-2</v>
      </c>
      <c r="T23" s="144">
        <v>-6.1831679891925902E-2</v>
      </c>
      <c r="U23" s="144">
        <v>-6.4432965008972387E-2</v>
      </c>
      <c r="V23" s="144">
        <v>-6.4779233325116786E-2</v>
      </c>
      <c r="W23" s="144">
        <v>-6.4438212412198187E-2</v>
      </c>
      <c r="X23" s="145">
        <v>-6.3838401249337096E-2</v>
      </c>
    </row>
    <row r="24" spans="2:26" ht="13.5" thickTop="1" x14ac:dyDescent="0.2">
      <c r="C24" s="97">
        <f t="shared" ref="C24:C28" si="5">C18</f>
        <v>2.0108220000000001</v>
      </c>
      <c r="D24" s="178">
        <v>305.02328</v>
      </c>
      <c r="E24" s="94"/>
      <c r="F24" s="95"/>
      <c r="G24" s="90"/>
      <c r="H24" s="123">
        <f t="shared" si="4"/>
        <v>96.991005215684012</v>
      </c>
      <c r="I24" s="127">
        <f t="shared" ref="I24:I28" si="6">-200/PI()*$F$17/H24</f>
        <v>-6.4435833935680602</v>
      </c>
      <c r="J24" s="128">
        <f t="shared" ref="J24:J28" si="7">-200/PI()*(C24-$E$17)/H24</f>
        <v>-0.51578991438325761</v>
      </c>
      <c r="K24" s="129">
        <f t="shared" si="3"/>
        <v>-1.6095258934895995E-2</v>
      </c>
      <c r="M24" s="100"/>
      <c r="Q24" s="40"/>
    </row>
    <row r="25" spans="2:26" x14ac:dyDescent="0.2">
      <c r="C25" s="97">
        <f t="shared" si="5"/>
        <v>1.5086269999999999</v>
      </c>
      <c r="D25" s="178">
        <v>301.77434</v>
      </c>
      <c r="E25" s="94"/>
      <c r="F25" s="95"/>
      <c r="G25" s="90"/>
      <c r="H25" s="123">
        <f t="shared" si="4"/>
        <v>96.453933275129003</v>
      </c>
      <c r="I25" s="127">
        <f t="shared" si="6"/>
        <v>-6.4794623641792466</v>
      </c>
      <c r="J25" s="128">
        <f t="shared" si="7"/>
        <v>-0.1872008222435638</v>
      </c>
      <c r="K25" s="129">
        <f t="shared" si="3"/>
        <v>-4.2808979315563638E-3</v>
      </c>
      <c r="Q25" s="87"/>
      <c r="R25" s="90"/>
    </row>
    <row r="26" spans="2:26" ht="13.5" thickBot="1" x14ac:dyDescent="0.25">
      <c r="C26" s="97">
        <f t="shared" si="5"/>
        <v>0.90922400000000003</v>
      </c>
      <c r="D26" s="178">
        <v>297.88816000000003</v>
      </c>
      <c r="E26" s="94"/>
      <c r="F26" s="95"/>
      <c r="G26" s="90"/>
      <c r="H26" s="123">
        <f t="shared" si="4"/>
        <v>96.473203482176004</v>
      </c>
      <c r="I26" s="127">
        <f t="shared" si="6"/>
        <v>-6.478168112751864</v>
      </c>
      <c r="J26" s="128">
        <f t="shared" si="7"/>
        <v>0.20837832473997478</v>
      </c>
      <c r="K26" s="129">
        <f t="shared" si="3"/>
        <v>3.070112819268311E-3</v>
      </c>
      <c r="N26" s="88">
        <v>17</v>
      </c>
      <c r="S26" s="88">
        <v>18</v>
      </c>
      <c r="V26" s="88">
        <v>19</v>
      </c>
      <c r="X26" s="88">
        <v>20</v>
      </c>
    </row>
    <row r="27" spans="2:26" ht="15.75" thickTop="1" thickBot="1" x14ac:dyDescent="0.3">
      <c r="C27" s="97">
        <f t="shared" si="5"/>
        <v>0.50016899999999997</v>
      </c>
      <c r="D27" s="178">
        <v>295.24364000000003</v>
      </c>
      <c r="E27" s="94"/>
      <c r="F27" s="95"/>
      <c r="G27" s="90"/>
      <c r="H27" s="123">
        <f t="shared" si="4"/>
        <v>96.898868978561012</v>
      </c>
      <c r="I27" s="127">
        <f t="shared" si="6"/>
        <v>-6.4497102713503285</v>
      </c>
      <c r="J27" s="128">
        <f t="shared" si="7"/>
        <v>0.47620963081319445</v>
      </c>
      <c r="K27" s="129">
        <f t="shared" si="3"/>
        <v>3.7924094364276914E-3</v>
      </c>
      <c r="N27" s="135">
        <f t="array" ref="N27:P29">MINVERSE(J32:L34)</f>
        <v>4.6624150055226349E-3</v>
      </c>
      <c r="O27" s="136">
        <v>5.7501635087701335E-2</v>
      </c>
      <c r="P27" s="137">
        <v>-2.3279838489102453</v>
      </c>
      <c r="R27" s="115" t="s">
        <v>74</v>
      </c>
      <c r="S27" s="146">
        <f t="array" ref="S27:S29">MMULT(N27:P29,J39:J41)</f>
        <v>9.6426049413000352E-3</v>
      </c>
      <c r="U27" s="198" t="s">
        <v>124</v>
      </c>
      <c r="V27" s="149">
        <f>E17+S27</f>
        <v>1.2346426049413002</v>
      </c>
      <c r="X27" s="152">
        <f>(MMULT(M23:X23,H32:H43))</f>
        <v>4.5771026187210732E-2</v>
      </c>
    </row>
    <row r="28" spans="2:26" ht="21.75" customHeight="1" thickTop="1" thickBot="1" x14ac:dyDescent="0.3">
      <c r="C28" s="98">
        <f t="shared" si="5"/>
        <v>0.20047599999999999</v>
      </c>
      <c r="D28" s="179">
        <v>293.31621999999999</v>
      </c>
      <c r="E28" s="94"/>
      <c r="F28" s="95"/>
      <c r="G28" s="90"/>
      <c r="H28" s="123">
        <f t="shared" si="4"/>
        <v>97.423138426576003</v>
      </c>
      <c r="I28" s="132">
        <f t="shared" si="6"/>
        <v>-6.415002027513923</v>
      </c>
      <c r="J28" s="133">
        <f t="shared" si="7"/>
        <v>0.66948390926318369</v>
      </c>
      <c r="K28" s="134">
        <f t="shared" si="3"/>
        <v>2.1282838421950528E-3</v>
      </c>
      <c r="N28" s="153">
        <v>5.7501635087701321E-2</v>
      </c>
      <c r="O28" s="128">
        <v>1.6030658196619545</v>
      </c>
      <c r="P28" s="139">
        <v>-52.543111892760933</v>
      </c>
      <c r="R28" s="115" t="s">
        <v>75</v>
      </c>
      <c r="S28" s="147">
        <v>-6.0903246997190408E-4</v>
      </c>
      <c r="U28" s="199" t="s">
        <v>125</v>
      </c>
      <c r="V28" s="150">
        <f>F17+S28</f>
        <v>9.8163909675300278</v>
      </c>
      <c r="X28" s="111" t="s">
        <v>106</v>
      </c>
    </row>
    <row r="29" spans="2:26" ht="15" thickBot="1" x14ac:dyDescent="0.3">
      <c r="G29" s="90"/>
      <c r="J29" s="99" t="s">
        <v>30</v>
      </c>
      <c r="N29" s="140">
        <v>-2.3279838489102453</v>
      </c>
      <c r="O29" s="141">
        <v>-52.54311189276094</v>
      </c>
      <c r="P29" s="142">
        <v>2056.8082039923779</v>
      </c>
      <c r="R29" s="115" t="s">
        <v>76</v>
      </c>
      <c r="S29" s="148">
        <v>-3.3760537407774294E-2</v>
      </c>
      <c r="U29" s="200" t="s">
        <v>126</v>
      </c>
      <c r="V29" s="151">
        <f>0+S29</f>
        <v>-3.3760537407774294E-2</v>
      </c>
      <c r="X29" s="87"/>
    </row>
    <row r="30" spans="2:26" ht="16.5" thickTop="1" x14ac:dyDescent="0.2">
      <c r="D30" s="88" t="s">
        <v>69</v>
      </c>
      <c r="E30" s="87"/>
      <c r="F30" s="93" t="s">
        <v>70</v>
      </c>
      <c r="G30" s="92"/>
      <c r="H30" s="88" t="s">
        <v>71</v>
      </c>
      <c r="I30" s="87"/>
      <c r="J30" s="87"/>
      <c r="K30" s="44"/>
      <c r="O30" s="89" t="s">
        <v>66</v>
      </c>
      <c r="S30" s="89" t="s">
        <v>67</v>
      </c>
    </row>
    <row r="31" spans="2:26" ht="19.5" customHeight="1" thickBot="1" x14ac:dyDescent="0.25">
      <c r="D31" s="88">
        <v>9</v>
      </c>
      <c r="E31" s="90"/>
      <c r="F31" s="88">
        <v>10</v>
      </c>
      <c r="G31" s="87"/>
      <c r="H31" s="88">
        <v>11</v>
      </c>
      <c r="I31" s="90"/>
      <c r="J31" s="88">
        <v>15</v>
      </c>
      <c r="S31" s="105" t="s">
        <v>31</v>
      </c>
      <c r="T31" s="87"/>
      <c r="U31" s="87"/>
      <c r="X31" s="88">
        <v>21</v>
      </c>
      <c r="Y31" s="88"/>
    </row>
    <row r="32" spans="2:26" ht="14.25" thickTop="1" thickBot="1" x14ac:dyDescent="0.25">
      <c r="D32" s="155">
        <f t="shared" ref="D32:D43" si="8">D17*PI()/200</f>
        <v>1.4222382641882692</v>
      </c>
      <c r="E32" s="42"/>
      <c r="F32" s="155">
        <f t="shared" ref="F32" si="9">D32-(PI()/2-ATAN((C17-$E$17)/$F$17))</f>
        <v>9.0825149558582119E-4</v>
      </c>
      <c r="H32" s="160">
        <f t="shared" ref="H32:H43" si="10">F32*200/PI()</f>
        <v>5.7821086037236083E-2</v>
      </c>
      <c r="J32" s="135">
        <f t="array" ref="J32:L34">MMULT(M17:X19,I17:K28)</f>
        <v>496.86017171049303</v>
      </c>
      <c r="K32" s="136">
        <v>3.7510234928977786</v>
      </c>
      <c r="L32" s="137">
        <v>0.65819112320767403</v>
      </c>
      <c r="X32" s="143">
        <f t="array" ref="X32:Z32">TRANSPOSE(J39:J41)</f>
        <v>4.7665209657314644</v>
      </c>
      <c r="Y32" s="144">
        <v>3.0342517543872335E-2</v>
      </c>
      <c r="Z32" s="145">
        <v>6.1536673940502185E-3</v>
      </c>
    </row>
    <row r="33" spans="4:29" ht="16.5" thickTop="1" x14ac:dyDescent="0.2">
      <c r="D33" s="156">
        <f t="shared" si="8"/>
        <v>1.4918540724362268</v>
      </c>
      <c r="E33" s="42"/>
      <c r="F33" s="156">
        <f>D33-(PI()/2-ATAN((C18-$E$17)/$F$17))</f>
        <v>9.3449312249105354E-4</v>
      </c>
      <c r="H33" s="161">
        <f t="shared" si="10"/>
        <v>5.9491679891932485E-2</v>
      </c>
      <c r="J33" s="153">
        <v>3.7510234928977786</v>
      </c>
      <c r="K33" s="128">
        <v>3.8626401119765226</v>
      </c>
      <c r="L33" s="139">
        <v>0.10292036627552388</v>
      </c>
      <c r="Y33" s="100" t="s">
        <v>61</v>
      </c>
    </row>
    <row r="34" spans="4:29" ht="13.5" thickBot="1" x14ac:dyDescent="0.25">
      <c r="D34" s="156">
        <f t="shared" si="8"/>
        <v>1.5428628557155029</v>
      </c>
      <c r="E34" s="42"/>
      <c r="F34" s="156">
        <f>D34-(PI()/2-ATAN((C19-$E$17)/$F$17))</f>
        <v>9.4990711306475184E-4</v>
      </c>
      <c r="H34" s="161">
        <f t="shared" si="10"/>
        <v>6.0472965008962869E-2</v>
      </c>
      <c r="J34" s="140">
        <v>0.65819112320767403</v>
      </c>
      <c r="K34" s="141">
        <v>0.10292036627552388</v>
      </c>
      <c r="L34" s="142">
        <v>3.8603573294633611E-3</v>
      </c>
      <c r="Y34" s="87"/>
      <c r="Z34" s="43"/>
    </row>
    <row r="35" spans="4:29" ht="21.75" customHeight="1" thickTop="1" x14ac:dyDescent="0.2">
      <c r="D35" s="156">
        <f t="shared" si="8"/>
        <v>1.6039118549563864</v>
      </c>
      <c r="E35" s="42"/>
      <c r="F35" s="156">
        <f>D35-(PI()/2-ATAN((C20-$E$17)/$F$17))</f>
        <v>9.6037283130145923E-4</v>
      </c>
      <c r="H35" s="161">
        <f t="shared" si="10"/>
        <v>6.1139233325114457E-2</v>
      </c>
      <c r="K35" s="89" t="s">
        <v>62</v>
      </c>
    </row>
    <row r="36" spans="4:29" x14ac:dyDescent="0.2">
      <c r="D36" s="156">
        <f t="shared" si="8"/>
        <v>1.645454705411131</v>
      </c>
      <c r="E36" s="42"/>
      <c r="F36" s="156">
        <f>D36-(PI()/2-ATAN((C21-$E$17)/$F$17))</f>
        <v>9.5784352071648371E-4</v>
      </c>
      <c r="H36" s="161">
        <f t="shared" si="10"/>
        <v>6.0978212412229053E-2</v>
      </c>
      <c r="K36" s="41"/>
      <c r="L36" s="90"/>
      <c r="M36" s="90"/>
      <c r="N36" s="90"/>
      <c r="O36" s="41"/>
      <c r="P36" s="87"/>
    </row>
    <row r="37" spans="4:29" ht="13.5" thickBot="1" x14ac:dyDescent="0.25">
      <c r="D37" s="156">
        <f t="shared" si="8"/>
        <v>1.6757308621323068</v>
      </c>
      <c r="E37" s="42"/>
      <c r="F37" s="158">
        <f>D37-(PI()/2-ATAN((C22-$E$17)/$F$17))</f>
        <v>9.4873586826715872E-4</v>
      </c>
      <c r="H37" s="162">
        <f t="shared" si="10"/>
        <v>6.0398401249319826E-2</v>
      </c>
      <c r="X37" s="88">
        <v>22</v>
      </c>
      <c r="AA37" s="88">
        <v>24</v>
      </c>
      <c r="AB37" s="88">
        <v>25</v>
      </c>
    </row>
    <row r="38" spans="4:29" ht="14.25" thickTop="1" thickBot="1" x14ac:dyDescent="0.25">
      <c r="D38" s="156">
        <f t="shared" si="8"/>
        <v>4.860896149190328</v>
      </c>
      <c r="E38" s="42"/>
      <c r="F38" s="159">
        <f>D38-(3*PI()/2+ATAN((C23-$E$17)/$F$17))</f>
        <v>-9.5914529657470382E-4</v>
      </c>
      <c r="H38" s="161">
        <f t="shared" si="10"/>
        <v>-6.1061086037282428E-2</v>
      </c>
      <c r="J38" s="88">
        <v>16</v>
      </c>
      <c r="X38" s="154">
        <f>MMULT(X32:Z32,S27:S29)</f>
        <v>4.5735447920315697E-2</v>
      </c>
      <c r="AA38" s="46"/>
      <c r="AB38" s="46"/>
    </row>
    <row r="39" spans="4:29" ht="21" customHeight="1" thickTop="1" thickBot="1" x14ac:dyDescent="0.3">
      <c r="D39" s="156">
        <f t="shared" si="8"/>
        <v>4.7912944781093127</v>
      </c>
      <c r="E39" s="42"/>
      <c r="F39" s="156">
        <f t="shared" ref="F39:F43" si="11">D39-(3*PI()/2+ATAN((C24-$E$17)/$F$17))</f>
        <v>-9.7124975653795076E-4</v>
      </c>
      <c r="H39" s="161">
        <f t="shared" si="10"/>
        <v>-6.1831679891925902E-2</v>
      </c>
      <c r="J39" s="109">
        <f t="array" ref="J39:J41">MMULT(M17:X19,H32:H43)</f>
        <v>4.7665209657314644</v>
      </c>
      <c r="X39" s="100" t="s">
        <v>78</v>
      </c>
      <c r="AA39" s="172">
        <f>X27-X43-X38</f>
        <v>1.9777335615728253E-6</v>
      </c>
      <c r="AB39" s="168">
        <f>(AA39/8)^0.5</f>
        <v>4.972089049852216E-4</v>
      </c>
      <c r="AC39" s="169">
        <f>AB39/SQRT(2)</f>
        <v>3.5157978838138798E-4</v>
      </c>
    </row>
    <row r="40" spans="4:29" ht="14.25" thickTop="1" thickBot="1" x14ac:dyDescent="0.25">
      <c r="D40" s="156">
        <f t="shared" si="8"/>
        <v>4.7402602479295419</v>
      </c>
      <c r="E40" s="42"/>
      <c r="F40" s="156">
        <f t="shared" si="11"/>
        <v>-1.0121106476059794E-3</v>
      </c>
      <c r="H40" s="161">
        <f t="shared" si="10"/>
        <v>-6.4432965008972387E-2</v>
      </c>
      <c r="J40" s="110">
        <v>3.0342517543872335E-2</v>
      </c>
      <c r="X40" s="87"/>
      <c r="AA40" s="47"/>
      <c r="AB40" s="47"/>
    </row>
    <row r="41" spans="4:29" ht="18" thickTop="1" thickBot="1" x14ac:dyDescent="0.35">
      <c r="D41" s="156">
        <f t="shared" si="8"/>
        <v>4.6792162752369046</v>
      </c>
      <c r="E41" s="42"/>
      <c r="F41" s="156">
        <f t="shared" si="11"/>
        <v>-1.0175498175968301E-3</v>
      </c>
      <c r="H41" s="161">
        <f t="shared" si="10"/>
        <v>-6.4779233325116786E-2</v>
      </c>
      <c r="J41" s="47">
        <v>6.1536673940502185E-3</v>
      </c>
      <c r="AA41" s="106" t="s">
        <v>68</v>
      </c>
      <c r="AC41" s="87" t="s">
        <v>39</v>
      </c>
    </row>
    <row r="42" spans="4:29" ht="17.25" thickTop="1" thickBot="1" x14ac:dyDescent="0.25">
      <c r="D42" s="156">
        <f t="shared" si="8"/>
        <v>4.6376762522155488</v>
      </c>
      <c r="E42" s="42"/>
      <c r="F42" s="156">
        <f t="shared" si="11"/>
        <v>-1.0121930736231022E-3</v>
      </c>
      <c r="H42" s="161">
        <f t="shared" si="10"/>
        <v>-6.4438212412198187E-2</v>
      </c>
      <c r="J42" s="100" t="s">
        <v>65</v>
      </c>
      <c r="X42" s="88">
        <v>23</v>
      </c>
      <c r="AC42" s="87" t="s">
        <v>40</v>
      </c>
    </row>
    <row r="43" spans="4:29" ht="14.25" thickTop="1" thickBot="1" x14ac:dyDescent="0.25">
      <c r="D43" s="157">
        <f t="shared" si="8"/>
        <v>4.6074004096536374</v>
      </c>
      <c r="E43" s="42"/>
      <c r="F43" s="157">
        <f t="shared" si="11"/>
        <v>-1.0027712619091744E-3</v>
      </c>
      <c r="H43" s="163">
        <f t="shared" si="10"/>
        <v>-6.3838401249337096E-2</v>
      </c>
      <c r="K43" s="87"/>
      <c r="X43" s="108">
        <f>12*H47^2</f>
        <v>3.3600533333460542E-5</v>
      </c>
    </row>
    <row r="44" spans="4:29" ht="18.75" customHeight="1" x14ac:dyDescent="0.2">
      <c r="H44" s="100" t="s">
        <v>32</v>
      </c>
      <c r="X44" s="100" t="s">
        <v>77</v>
      </c>
    </row>
    <row r="45" spans="4:29" x14ac:dyDescent="0.2">
      <c r="F45" s="102" t="s">
        <v>60</v>
      </c>
      <c r="H45" s="88"/>
      <c r="Z45" s="88"/>
    </row>
    <row r="46" spans="4:29" ht="13.5" thickBot="1" x14ac:dyDescent="0.25">
      <c r="F46" s="116" t="s">
        <v>79</v>
      </c>
      <c r="H46" s="88">
        <v>12</v>
      </c>
    </row>
    <row r="47" spans="4:29" ht="14.25" thickTop="1" thickBot="1" x14ac:dyDescent="0.25">
      <c r="F47" s="19" t="s">
        <v>80</v>
      </c>
      <c r="H47" s="108">
        <f>SUM(H32:H43)/12</f>
        <v>-1.6733333333365009E-3</v>
      </c>
      <c r="I47" s="114" t="s">
        <v>18</v>
      </c>
    </row>
    <row r="48" spans="4:29" ht="19.5" customHeight="1" thickTop="1" x14ac:dyDescent="0.2">
      <c r="H48" s="101" t="s">
        <v>81</v>
      </c>
    </row>
  </sheetData>
  <sheetProtection sheet="1" objects="1" scenarios="1"/>
  <printOptions gridLines="1" gridLinesSet="0"/>
  <pageMargins left="0" right="0" top="0" bottom="0" header="0" footer="0"/>
  <pageSetup paperSize="9" orientation="landscape" horizontalDpi="4294967292" verticalDpi="4294967292" r:id="rId1"/>
  <headerFooter alignWithMargins="0">
    <oddHeader>&amp;F</oddHead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zoomScale="80" zoomScaleNormal="80" workbookViewId="0">
      <selection activeCell="L14" sqref="L14"/>
    </sheetView>
  </sheetViews>
  <sheetFormatPr baseColWidth="10" defaultRowHeight="12.75" x14ac:dyDescent="0.2"/>
  <cols>
    <col min="1" max="1" width="4" customWidth="1"/>
    <col min="4" max="4" width="10.140625" bestFit="1" customWidth="1"/>
    <col min="6" max="6" width="16.85546875" customWidth="1"/>
    <col min="8" max="8" width="12.5703125" bestFit="1" customWidth="1"/>
  </cols>
  <sheetData>
    <row r="6" spans="2:10" x14ac:dyDescent="0.2">
      <c r="B6" s="86" t="s">
        <v>86</v>
      </c>
      <c r="C6" s="85"/>
      <c r="D6" s="85"/>
    </row>
    <row r="8" spans="2:10" ht="15.75" x14ac:dyDescent="0.25">
      <c r="B8" s="118" t="s">
        <v>102</v>
      </c>
      <c r="C8" s="45"/>
      <c r="D8" s="45"/>
      <c r="E8" s="45"/>
      <c r="F8" s="45"/>
      <c r="G8" s="45"/>
      <c r="H8" s="66"/>
      <c r="I8" s="67"/>
      <c r="J8" s="45"/>
    </row>
    <row r="9" spans="2:10" ht="15.75" x14ac:dyDescent="0.25">
      <c r="B9" s="118"/>
      <c r="C9" s="45"/>
      <c r="D9" s="45"/>
      <c r="E9" s="45"/>
      <c r="F9" s="45"/>
      <c r="G9" s="45"/>
      <c r="H9" s="66"/>
      <c r="I9" s="67"/>
      <c r="J9" s="45"/>
    </row>
    <row r="10" spans="2:10" x14ac:dyDescent="0.2">
      <c r="B10" s="68"/>
      <c r="C10" s="69" t="s">
        <v>36</v>
      </c>
      <c r="I10" s="67"/>
      <c r="J10" s="45"/>
    </row>
    <row r="11" spans="2:10" x14ac:dyDescent="0.2">
      <c r="D11" s="45"/>
      <c r="E11" s="45"/>
      <c r="H11" s="66"/>
      <c r="I11" s="67"/>
      <c r="J11" s="45"/>
    </row>
    <row r="12" spans="2:10" x14ac:dyDescent="0.2">
      <c r="B12" s="45" t="s">
        <v>33</v>
      </c>
      <c r="C12" s="81"/>
      <c r="D12" s="66" t="s">
        <v>34</v>
      </c>
      <c r="E12" s="81"/>
      <c r="F12" s="66" t="s">
        <v>35</v>
      </c>
      <c r="G12" s="81"/>
      <c r="H12" s="68"/>
      <c r="I12" s="67"/>
      <c r="J12" s="45"/>
    </row>
    <row r="13" spans="2:10" x14ac:dyDescent="0.2">
      <c r="B13" s="45"/>
      <c r="C13" s="45"/>
      <c r="D13" s="45"/>
      <c r="E13" s="45"/>
      <c r="F13" s="45"/>
      <c r="G13" s="45"/>
      <c r="H13" s="45"/>
      <c r="I13" s="45"/>
      <c r="J13" s="45"/>
    </row>
    <row r="14" spans="2:10" x14ac:dyDescent="0.2">
      <c r="D14" t="s">
        <v>38</v>
      </c>
      <c r="E14" s="82">
        <v>30</v>
      </c>
    </row>
    <row r="15" spans="2:10" x14ac:dyDescent="0.2">
      <c r="D15" s="72" t="s">
        <v>1</v>
      </c>
      <c r="E15" s="171">
        <v>0.1</v>
      </c>
    </row>
    <row r="16" spans="2:10" x14ac:dyDescent="0.2">
      <c r="D16" s="39" t="s">
        <v>82</v>
      </c>
      <c r="E16" s="196">
        <v>20</v>
      </c>
      <c r="F16" s="170">
        <f>(E16/3600)*(200/180)*1000</f>
        <v>6.1728395061728403</v>
      </c>
      <c r="G16" s="76" t="s">
        <v>84</v>
      </c>
    </row>
    <row r="17" spans="3:9" x14ac:dyDescent="0.2">
      <c r="D17" s="39" t="s">
        <v>103</v>
      </c>
      <c r="E17" s="197">
        <v>0.5</v>
      </c>
      <c r="G17" s="76" t="s">
        <v>83</v>
      </c>
    </row>
    <row r="18" spans="3:9" x14ac:dyDescent="0.2">
      <c r="D18" s="39" t="s">
        <v>104</v>
      </c>
      <c r="E18" s="171">
        <v>0.1</v>
      </c>
    </row>
    <row r="19" spans="3:9" x14ac:dyDescent="0.2">
      <c r="C19" s="72"/>
      <c r="I19" s="84"/>
    </row>
    <row r="20" spans="3:9" x14ac:dyDescent="0.2">
      <c r="C20" s="71" t="s">
        <v>37</v>
      </c>
      <c r="G20" s="71" t="s">
        <v>5</v>
      </c>
    </row>
    <row r="22" spans="3:9" x14ac:dyDescent="0.2">
      <c r="C22" s="75" t="s">
        <v>3</v>
      </c>
      <c r="G22" s="75" t="s">
        <v>3</v>
      </c>
    </row>
    <row r="23" spans="3:9" ht="15.75" x14ac:dyDescent="0.3">
      <c r="C23" s="75"/>
      <c r="D23" s="19" t="s">
        <v>107</v>
      </c>
      <c r="E23" s="19" t="s">
        <v>108</v>
      </c>
      <c r="G23" s="75"/>
      <c r="H23" s="19" t="s">
        <v>107</v>
      </c>
      <c r="I23" s="19" t="s">
        <v>108</v>
      </c>
    </row>
    <row r="24" spans="3:9" x14ac:dyDescent="0.2">
      <c r="C24" s="112" t="s">
        <v>94</v>
      </c>
      <c r="D24" s="73">
        <f>Horiz.1!C48</f>
        <v>0.22074526545610459</v>
      </c>
      <c r="G24" s="119" t="s">
        <v>97</v>
      </c>
      <c r="H24" s="73">
        <f>Vert.1!AC39*1000</f>
        <v>0.35157978838138798</v>
      </c>
    </row>
    <row r="25" spans="3:9" x14ac:dyDescent="0.2">
      <c r="C25" s="112" t="s">
        <v>95</v>
      </c>
      <c r="D25" s="73">
        <f>Horiz.2!C48</f>
        <v>0.22178724790384968</v>
      </c>
      <c r="G25" s="119" t="s">
        <v>98</v>
      </c>
      <c r="H25" s="73">
        <f>Vert.2!AC39*1000</f>
        <v>0.26864506606208743</v>
      </c>
    </row>
    <row r="26" spans="3:9" x14ac:dyDescent="0.2">
      <c r="C26" s="112" t="s">
        <v>96</v>
      </c>
      <c r="D26" s="73">
        <f>Horiz.3!C48</f>
        <v>0.20095604826085847</v>
      </c>
      <c r="G26" s="119" t="s">
        <v>99</v>
      </c>
      <c r="H26" s="73">
        <f>Vert.3!AC39*1000</f>
        <v>0.35157978838138798</v>
      </c>
    </row>
    <row r="27" spans="3:9" x14ac:dyDescent="0.2">
      <c r="C27" s="121" t="s">
        <v>109</v>
      </c>
      <c r="D27" s="122">
        <f>D24</f>
        <v>0.22074526545610459</v>
      </c>
      <c r="E27" s="84">
        <v>9</v>
      </c>
      <c r="G27" s="121" t="s">
        <v>109</v>
      </c>
      <c r="H27" s="122">
        <f>H24</f>
        <v>0.35157978838138798</v>
      </c>
      <c r="I27" s="84">
        <v>8</v>
      </c>
    </row>
    <row r="28" spans="3:9" x14ac:dyDescent="0.2">
      <c r="C28" s="121" t="s">
        <v>110</v>
      </c>
      <c r="D28" s="122">
        <f>SQRT((D24^2+D25^2)/2)</f>
        <v>0.22126687003938225</v>
      </c>
      <c r="E28" s="84">
        <v>18</v>
      </c>
      <c r="G28" s="121" t="s">
        <v>110</v>
      </c>
      <c r="H28" s="122">
        <f>SQRT((H24^2+H25^2)/2)</f>
        <v>0.31287259317316757</v>
      </c>
      <c r="I28" s="84">
        <v>16</v>
      </c>
    </row>
    <row r="29" spans="3:9" x14ac:dyDescent="0.2">
      <c r="C29" s="121" t="s">
        <v>111</v>
      </c>
      <c r="D29" s="122">
        <f>SQRT((D24^2+D25^2+D26^2)/3)</f>
        <v>0.21471018364815259</v>
      </c>
      <c r="E29" s="84">
        <v>27</v>
      </c>
      <c r="G29" s="121" t="s">
        <v>111</v>
      </c>
      <c r="H29" s="122">
        <f>SQRT((H24^2+H25^2+H26^2)/3)</f>
        <v>0.32628559408188523</v>
      </c>
      <c r="I29" s="84">
        <v>24</v>
      </c>
    </row>
    <row r="30" spans="3:9" x14ac:dyDescent="0.2">
      <c r="C30" s="121"/>
      <c r="D30" s="121"/>
    </row>
    <row r="31" spans="3:9" x14ac:dyDescent="0.2">
      <c r="C31" s="72" t="s">
        <v>0</v>
      </c>
      <c r="D31" s="73">
        <f>F16/(12*SQRT(12))</f>
        <v>0.14849543960638525</v>
      </c>
      <c r="E31" s="84">
        <v>100</v>
      </c>
    </row>
    <row r="32" spans="3:9" x14ac:dyDescent="0.2">
      <c r="C32" s="39" t="s">
        <v>73</v>
      </c>
      <c r="D32" s="73">
        <f>E17/(4*SQRT(12))</f>
        <v>3.6084391824351615E-2</v>
      </c>
      <c r="E32" s="84">
        <v>100</v>
      </c>
      <c r="G32" s="74" t="s">
        <v>4</v>
      </c>
      <c r="H32" s="73">
        <f>E18/SQRT(3)</f>
        <v>5.7735026918962581E-2</v>
      </c>
      <c r="I32" s="84">
        <v>100</v>
      </c>
    </row>
    <row r="33" spans="3:9" x14ac:dyDescent="0.2">
      <c r="C33" s="120" t="s">
        <v>2</v>
      </c>
      <c r="D33" s="73">
        <f>E15/SQRT(12)</f>
        <v>2.8867513459481291E-2</v>
      </c>
      <c r="E33" s="84">
        <v>100</v>
      </c>
      <c r="G33" s="74" t="s">
        <v>2</v>
      </c>
      <c r="H33" s="73">
        <f>E15/SQRT(12)</f>
        <v>2.8867513459481291E-2</v>
      </c>
      <c r="I33" s="84">
        <v>100</v>
      </c>
    </row>
    <row r="35" spans="3:9" x14ac:dyDescent="0.2">
      <c r="C35" s="77" t="s">
        <v>112</v>
      </c>
      <c r="D35" s="113">
        <f>IF(D32=0,SQRT(D27^2+D31^2+D33^2),SQRT(D27^2+D32^2+D33^2))</f>
        <v>0.22553023940915939</v>
      </c>
      <c r="E35" s="175">
        <f>INT(IF(D32=0,D35^4/(D27^4/E27)+(D31^4/E31)+(D33^4/E33),D35^4/(D27^4/E27)+(D32^4/E32)+(D33^4/E33)))</f>
        <v>9</v>
      </c>
      <c r="G35" s="173" t="s">
        <v>113</v>
      </c>
      <c r="H35" s="78">
        <f>SQRT((H27/SQRT(2))^2+H32^2+H33^2)</f>
        <v>0.2568478936371047</v>
      </c>
      <c r="I35" s="175">
        <f>INT(H35^4/((H27/SQRT(2))^4/I27)+(H32^4/I32)+(H33^4/I33))</f>
        <v>9</v>
      </c>
    </row>
    <row r="36" spans="3:9" x14ac:dyDescent="0.2">
      <c r="C36" s="77" t="s">
        <v>114</v>
      </c>
      <c r="D36" s="113">
        <f>IF(D32=0,SQRT(D28^2+D31^2+D33^2),SQRT(D28^2+D32^2+D33^2))</f>
        <v>0.22604080260805026</v>
      </c>
      <c r="E36" s="175">
        <f>INT(IF(D32=0,D36^4/(D28^4/E28+D31^4/E31+D33^4/E33),D36^4/(D28^4/E28+D32^4/E32+D33^4/E33)))</f>
        <v>19</v>
      </c>
      <c r="G36" s="173" t="s">
        <v>115</v>
      </c>
      <c r="H36" s="78">
        <f>SQRT((H28/SQRT(2))^2+H32^2+H33^2)</f>
        <v>0.23045888233287487</v>
      </c>
      <c r="I36" s="175">
        <f>INT(H36^4/((H28/SQRT(2))^4/I28+H32^4/I32+H33^4/I33))</f>
        <v>18</v>
      </c>
    </row>
    <row r="37" spans="3:9" x14ac:dyDescent="0.2">
      <c r="C37" s="77" t="s">
        <v>116</v>
      </c>
      <c r="D37" s="113">
        <f>IF(D32=0,SQRT(D29^2+D31^2+D33^2),SQRT(D29^2+D32^2+D33^2))</f>
        <v>0.2196266824156165</v>
      </c>
      <c r="E37" s="175">
        <f>INT(IF(D32=0,(D37^4)/(D29^4/E29+D31^4/E31+D33^4/E33),(D37^4)/(D29^4/E29+D32^4/E32+D33^4/E33)))</f>
        <v>29</v>
      </c>
      <c r="G37" s="173" t="s">
        <v>117</v>
      </c>
      <c r="H37" s="78">
        <f>SQRT((H29/SQRT(2))^2+H32^2+H33^2)</f>
        <v>0.2395784028650142</v>
      </c>
      <c r="I37" s="175">
        <f>INT((H37^4)/((H29/SQRT(2))^4/I29+H32^4/I32+H33^4/I33))</f>
        <v>27</v>
      </c>
    </row>
    <row r="38" spans="3:9" x14ac:dyDescent="0.2">
      <c r="C38" s="77"/>
      <c r="D38" s="113"/>
      <c r="G38" s="173"/>
      <c r="H38" s="78"/>
    </row>
    <row r="39" spans="3:9" x14ac:dyDescent="0.2">
      <c r="C39" s="19" t="s">
        <v>118</v>
      </c>
      <c r="D39" s="194">
        <f>_xlfn.T.INV.2T(1-$F$39,E35)</f>
        <v>2.2621571627982049</v>
      </c>
      <c r="E39" s="164" t="s">
        <v>47</v>
      </c>
      <c r="F39" s="174">
        <v>0.95</v>
      </c>
      <c r="G39" s="19" t="s">
        <v>118</v>
      </c>
      <c r="H39" s="195">
        <f>_xlfn.T.INV.2T(1-$F$39,I35)</f>
        <v>2.2621571627982049</v>
      </c>
    </row>
    <row r="40" spans="3:9" x14ac:dyDescent="0.2">
      <c r="C40" s="19" t="s">
        <v>119</v>
      </c>
      <c r="D40" s="194">
        <f>_xlfn.T.INV.2T(1-$F$39,E36)</f>
        <v>2.0930240544083087</v>
      </c>
      <c r="G40" s="19" t="s">
        <v>119</v>
      </c>
      <c r="H40" s="195">
        <f>_xlfn.T.INV.2T(1-$F$39,I36)</f>
        <v>2.1009220402410378</v>
      </c>
    </row>
    <row r="41" spans="3:9" x14ac:dyDescent="0.2">
      <c r="C41" s="19" t="s">
        <v>120</v>
      </c>
      <c r="D41" s="194">
        <f>_xlfn.T.INV.2T(1-$F$39,E37)</f>
        <v>2.0452296421327034</v>
      </c>
      <c r="G41" s="19" t="s">
        <v>120</v>
      </c>
      <c r="H41" s="195">
        <f>_xlfn.T.INV.2T(1-$F$39,I37)</f>
        <v>2.0518305164802841</v>
      </c>
    </row>
    <row r="42" spans="3:9" x14ac:dyDescent="0.2">
      <c r="C42" s="77"/>
      <c r="D42" s="113"/>
      <c r="G42" s="173"/>
      <c r="H42" s="78"/>
    </row>
    <row r="43" spans="3:9" x14ac:dyDescent="0.2">
      <c r="C43" s="80" t="s">
        <v>121</v>
      </c>
      <c r="D43" s="176">
        <f>D35*D39</f>
        <v>0.51018484650702389</v>
      </c>
      <c r="E43" s="19" t="s">
        <v>19</v>
      </c>
      <c r="G43" s="80" t="s">
        <v>121</v>
      </c>
      <c r="H43" s="176">
        <f>H35*H39</f>
        <v>0.58103030234080788</v>
      </c>
      <c r="I43" s="19" t="s">
        <v>19</v>
      </c>
    </row>
    <row r="44" spans="3:9" x14ac:dyDescent="0.2">
      <c r="C44" s="80" t="s">
        <v>122</v>
      </c>
      <c r="D44" s="176">
        <f>D36*D40</f>
        <v>0.47310883713640955</v>
      </c>
      <c r="E44" s="19" t="s">
        <v>19</v>
      </c>
      <c r="G44" s="80" t="s">
        <v>122</v>
      </c>
      <c r="H44" s="176">
        <f>H36*H40</f>
        <v>0.48417614526245273</v>
      </c>
      <c r="I44" s="19" t="s">
        <v>19</v>
      </c>
    </row>
    <row r="45" spans="3:9" x14ac:dyDescent="0.2">
      <c r="C45" s="80" t="s">
        <v>123</v>
      </c>
      <c r="D45" s="176">
        <f>D37*D41</f>
        <v>0.44918700107968423</v>
      </c>
      <c r="E45" s="19" t="s">
        <v>19</v>
      </c>
      <c r="G45" s="80" t="s">
        <v>123</v>
      </c>
      <c r="H45" s="176">
        <f>H37*H41</f>
        <v>0.49157427808804366</v>
      </c>
      <c r="I45" s="19" t="s">
        <v>19</v>
      </c>
    </row>
  </sheetData>
  <sheetProtection sheet="1" objects="1" scenarios="1"/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Horiz.1</vt:lpstr>
      <vt:lpstr>Horiz.2</vt:lpstr>
      <vt:lpstr>Horiz.3</vt:lpstr>
      <vt:lpstr>Vert.1</vt:lpstr>
      <vt:lpstr>Vert.2</vt:lpstr>
      <vt:lpstr>Vert.3</vt:lpstr>
      <vt:lpstr>Incertidumbres</vt:lpstr>
      <vt:lpstr>Vert.2!Criterios</vt:lpstr>
      <vt:lpstr>Vert.3!Criterios</vt:lpstr>
      <vt:lpstr>Criterios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Calibración de teodolitos</dc:title>
  <dc:creator>E. Prieto</dc:creator>
  <cp:keywords>Revisión Mayo 2022</cp:keywords>
  <cp:lastModifiedBy>EPrieto</cp:lastModifiedBy>
  <cp:lastPrinted>2009-10-20T11:06:39Z</cp:lastPrinted>
  <dcterms:created xsi:type="dcterms:W3CDTF">2004-05-31T08:21:35Z</dcterms:created>
  <dcterms:modified xsi:type="dcterms:W3CDTF">2022-06-02T08:05:09Z</dcterms:modified>
</cp:coreProperties>
</file>